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4"/>
  </bookViews>
  <sheets>
    <sheet name="Blatt" sheetId="1" r:id="rId1"/>
    <sheet name="Renditeberechnung" sheetId="2" r:id="rId2"/>
    <sheet name="Berechnung" sheetId="3" r:id="rId3"/>
    <sheet name="Liquidität" sheetId="4" r:id="rId4"/>
    <sheet name="Zusammenstellung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comments5.xml><?xml version="1.0" encoding="utf-8"?>
<comments xmlns="http://schemas.openxmlformats.org/spreadsheetml/2006/main">
  <authors>
    <author>wst_01</author>
  </authors>
  <commentList>
    <comment ref="E24" authorId="0">
      <text>
        <r>
          <rPr>
            <b/>
            <sz val="8"/>
            <rFont val="Tahoma"/>
            <family val="0"/>
          </rPr>
          <t>wst_01:</t>
        </r>
        <r>
          <rPr>
            <sz val="8"/>
            <rFont val="Tahoma"/>
            <family val="0"/>
          </rPr>
          <t xml:space="preserve">
hier </t>
        </r>
        <r>
          <rPr>
            <b/>
            <sz val="8"/>
            <rFont val="Tahoma"/>
            <family val="2"/>
          </rPr>
          <t>muss</t>
        </r>
        <r>
          <rPr>
            <sz val="8"/>
            <rFont val="Tahoma"/>
            <family val="2"/>
          </rPr>
          <t xml:space="preserve"> eine Zahl verschieden von Null eingefügt werden</t>
        </r>
      </text>
    </comment>
  </commentList>
</comments>
</file>

<file path=xl/sharedStrings.xml><?xml version="1.0" encoding="utf-8"?>
<sst xmlns="http://schemas.openxmlformats.org/spreadsheetml/2006/main" count="142" uniqueCount="85">
  <si>
    <t>Prognose- und Finanzierungsrechnung</t>
  </si>
  <si>
    <t>monatlich netto</t>
  </si>
  <si>
    <t>brutto</t>
  </si>
  <si>
    <t>jährlich</t>
  </si>
  <si>
    <t>Anschaffungskosten</t>
  </si>
  <si>
    <t>lt Vertrag</t>
  </si>
  <si>
    <t>GrESt</t>
  </si>
  <si>
    <t>Eintragung</t>
  </si>
  <si>
    <t>Vermtlg 0;3(kV);3,6(V)</t>
  </si>
  <si>
    <t>Diverses</t>
  </si>
  <si>
    <t>Einrichtung netto</t>
  </si>
  <si>
    <t>Vorsteuer Vermtlg</t>
  </si>
  <si>
    <t>Vorsteuer (Sonstige)</t>
  </si>
  <si>
    <t>Grundanteil in %</t>
  </si>
  <si>
    <t>Erlöse netto/j</t>
  </si>
  <si>
    <t>Afa</t>
  </si>
  <si>
    <t>Diverse zahlungswirksame Aufwendungen</t>
  </si>
  <si>
    <t>bleibt für Zinsaufwand übrig</t>
  </si>
  <si>
    <t xml:space="preserve">zahlungswirksam </t>
  </si>
  <si>
    <t>Finanzierung</t>
  </si>
  <si>
    <t>Laufzeit &lt;30a</t>
  </si>
  <si>
    <t xml:space="preserve">mtl Rate </t>
  </si>
  <si>
    <t>Zinssatz</t>
  </si>
  <si>
    <t>mtl Zuzahlung</t>
  </si>
  <si>
    <t>ergibt Barwert</t>
  </si>
  <si>
    <t>Anschkosten</t>
  </si>
  <si>
    <t>Jahr</t>
  </si>
  <si>
    <t>Zins</t>
  </si>
  <si>
    <t>Sonst Kosten</t>
  </si>
  <si>
    <t>Jahreskosten</t>
  </si>
  <si>
    <t>Jahresergebnis</t>
  </si>
  <si>
    <t>Gesergebnis</t>
  </si>
  <si>
    <t>Berechnung der Rendite</t>
  </si>
  <si>
    <t xml:space="preserve"> </t>
  </si>
  <si>
    <t>Rendite bei voller Eigenfinanzierung ohne Berücksichtigung von Steuern</t>
  </si>
  <si>
    <t>Steuergutschrift/nachzahlung</t>
  </si>
  <si>
    <t>Gesamtsaldo</t>
  </si>
  <si>
    <t>Zahlungsflüsse</t>
  </si>
  <si>
    <t>monatlich brutto</t>
  </si>
  <si>
    <t>netto</t>
  </si>
  <si>
    <t>abzüglich div zahlungswirksame Aufwendungen</t>
  </si>
  <si>
    <t>monatliche Rückzahlung</t>
  </si>
  <si>
    <t>Vorsteuer</t>
  </si>
  <si>
    <t xml:space="preserve">Laufzeit </t>
  </si>
  <si>
    <t>Prognoserechnung</t>
  </si>
  <si>
    <t>Monat</t>
  </si>
  <si>
    <t>Tilgung</t>
  </si>
  <si>
    <t>Summe</t>
  </si>
  <si>
    <t>bei Progression in % (0;10;21;31;41;50)</t>
  </si>
  <si>
    <t>Baurechtszins/ Monat/qm</t>
  </si>
  <si>
    <t>Angabe</t>
  </si>
  <si>
    <t>Kaufpreis/qm</t>
  </si>
  <si>
    <t>Einnahmen</t>
  </si>
  <si>
    <t>Ausgaben</t>
  </si>
  <si>
    <t xml:space="preserve">Ausgaben </t>
  </si>
  <si>
    <t>Sonstige Kosten</t>
  </si>
  <si>
    <t>Quadratmeter gekauft</t>
  </si>
  <si>
    <t>Quadratmeter vermietet</t>
  </si>
  <si>
    <t>steuerliches</t>
  </si>
  <si>
    <t>Steuer in %</t>
  </si>
  <si>
    <t xml:space="preserve">Steuersatz </t>
  </si>
  <si>
    <t>Anfangsstand</t>
  </si>
  <si>
    <t>Endstand</t>
  </si>
  <si>
    <t>steuerliches Ergebnis</t>
  </si>
  <si>
    <t>jährliche Einnahmen</t>
  </si>
  <si>
    <t>Afa in a</t>
  </si>
  <si>
    <t>P</t>
  </si>
  <si>
    <t>cashwirksame Ausgaben</t>
  </si>
  <si>
    <t>Rendite:</t>
  </si>
  <si>
    <t>vor Steuern und Fremdfinanzierung</t>
  </si>
  <si>
    <t>Miete/Monat</t>
  </si>
  <si>
    <t>kumuliert</t>
  </si>
  <si>
    <t>Zuzahlung</t>
  </si>
  <si>
    <t>Barwert Zuzahlung</t>
  </si>
  <si>
    <t>Progsatz</t>
  </si>
  <si>
    <t>indexiert mit</t>
  </si>
  <si>
    <t>Annuität Zins+Tilgung</t>
  </si>
  <si>
    <t>gesamte Zahlung</t>
  </si>
  <si>
    <t>Eigenmittel</t>
  </si>
  <si>
    <t>Jahr 1</t>
  </si>
  <si>
    <t>Jahr 10</t>
  </si>
  <si>
    <t>Jahr 20</t>
  </si>
  <si>
    <t>nach Steuern</t>
  </si>
  <si>
    <t>Test</t>
  </si>
  <si>
    <t xml:space="preserve">Prognoserechnung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</si>
</sst>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%"/>
    <numFmt numFmtId="187" formatCode="0.000%"/>
    <numFmt numFmtId="188" formatCode="0.0000%"/>
    <numFmt numFmtId="189" formatCode="#,##0.000\ _D_M;[Red]\-#,##0.000\ _D_M"/>
    <numFmt numFmtId="190" formatCode="#,##0.0\ _D_M;[Red]\-#,##0.0\ _D_M"/>
    <numFmt numFmtId="191" formatCode="#,##0.0000\ _D_M;[Red]\-#,##0.0000\ _D_M"/>
    <numFmt numFmtId="192" formatCode="#,##0.00000\ _D_M;[Red]\-#,##0.00000\ _D_M"/>
    <numFmt numFmtId="193" formatCode="#,##0.000000\ _D_M;[Red]\-#,##0.000000\ _D_M"/>
    <numFmt numFmtId="194" formatCode="0.00000%"/>
    <numFmt numFmtId="195" formatCode="0.000000%"/>
    <numFmt numFmtId="196" formatCode="#,##0.00\ _D_M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0.0000000000"/>
    <numFmt numFmtId="206" formatCode="0.00000000000"/>
    <numFmt numFmtId="207" formatCode="_-* #,##0.0000\ _D_M_-;\-* #,##0.0000\ _D_M_-;_-* &quot;-&quot;????\ _D_M_-;_-@_-"/>
    <numFmt numFmtId="208" formatCode="_-* #,##0.0\ _D_M_-;\-* #,##0.0\ _D_M_-;_-* &quot;-&quot;??\ _D_M_-;_-@_-"/>
    <numFmt numFmtId="209" formatCode="_-* #,##0.000\ _D_M_-;\-* #,##0.000\ _D_M_-;_-* &quot;-&quot;??\ _D_M_-;_-@_-"/>
    <numFmt numFmtId="210" formatCode="_-* #,##0.0000\ _D_M_-;\-* #,##0.0000\ _D_M_-;_-* &quot;-&quot;??\ _D_M_-;_-@_-"/>
    <numFmt numFmtId="211" formatCode="_-* #,##0.00000\ _D_M_-;\-* #,##0.00000\ _D_M_-;_-* &quot;-&quot;??\ _D_M_-;_-@_-"/>
    <numFmt numFmtId="212" formatCode="_-* #,##0.000000\ _D_M_-;\-* #,##0.000000\ _D_M_-;_-* &quot;-&quot;??\ _D_M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0">
    <xf numFmtId="0" fontId="0" fillId="0" borderId="0" xfId="0" applyAlignment="1">
      <alignment/>
    </xf>
    <xf numFmtId="179" fontId="0" fillId="0" borderId="0" xfId="48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79" fontId="0" fillId="0" borderId="10" xfId="48" applyFont="1" applyBorder="1" applyAlignment="1">
      <alignment/>
    </xf>
    <xf numFmtId="179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40" fontId="0" fillId="0" borderId="0" xfId="0" applyNumberFormat="1" applyAlignment="1">
      <alignment/>
    </xf>
    <xf numFmtId="175" fontId="0" fillId="0" borderId="0" xfId="48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0" fontId="0" fillId="0" borderId="10" xfId="0" applyNumberFormat="1" applyBorder="1" applyAlignment="1">
      <alignment/>
    </xf>
    <xf numFmtId="10" fontId="0" fillId="0" borderId="0" xfId="48" applyNumberFormat="1" applyFont="1" applyAlignment="1">
      <alignment/>
    </xf>
    <xf numFmtId="179" fontId="0" fillId="0" borderId="0" xfId="0" applyNumberFormat="1" applyAlignment="1">
      <alignment/>
    </xf>
    <xf numFmtId="179" fontId="0" fillId="0" borderId="0" xfId="48" applyFont="1" applyAlignment="1">
      <alignment horizontal="center"/>
    </xf>
    <xf numFmtId="196" fontId="0" fillId="0" borderId="0" xfId="0" applyNumberFormat="1" applyAlignment="1">
      <alignment/>
    </xf>
    <xf numFmtId="196" fontId="0" fillId="0" borderId="0" xfId="48" applyNumberFormat="1" applyFont="1" applyAlignment="1">
      <alignment/>
    </xf>
    <xf numFmtId="196" fontId="0" fillId="0" borderId="10" xfId="0" applyNumberFormat="1" applyBorder="1" applyAlignment="1">
      <alignment/>
    </xf>
    <xf numFmtId="196" fontId="0" fillId="0" borderId="0" xfId="51" applyNumberFormat="1" applyFont="1" applyAlignment="1">
      <alignment/>
    </xf>
    <xf numFmtId="0" fontId="1" fillId="0" borderId="0" xfId="0" applyFont="1" applyAlignment="1">
      <alignment horizontal="right"/>
    </xf>
    <xf numFmtId="179" fontId="1" fillId="0" borderId="0" xfId="48" applyFont="1" applyAlignment="1">
      <alignment horizontal="center"/>
    </xf>
    <xf numFmtId="179" fontId="0" fillId="33" borderId="0" xfId="48" applyFont="1" applyFill="1" applyAlignment="1" applyProtection="1">
      <alignment/>
      <protection locked="0"/>
    </xf>
    <xf numFmtId="196" fontId="0" fillId="33" borderId="0" xfId="48" applyNumberFormat="1" applyFont="1" applyFill="1" applyAlignment="1" applyProtection="1">
      <alignment/>
      <protection locked="0"/>
    </xf>
    <xf numFmtId="179" fontId="0" fillId="33" borderId="0" xfId="48" applyFont="1" applyFill="1" applyAlignment="1" applyProtection="1">
      <alignment/>
      <protection locked="0"/>
    </xf>
    <xf numFmtId="10" fontId="0" fillId="33" borderId="0" xfId="51" applyNumberFormat="1" applyFont="1" applyFill="1" applyAlignment="1" applyProtection="1">
      <alignment horizontal="center"/>
      <protection locked="0"/>
    </xf>
    <xf numFmtId="10" fontId="0" fillId="0" borderId="0" xfId="51" applyNumberFormat="1" applyFont="1" applyAlignment="1">
      <alignment horizontal="center"/>
    </xf>
    <xf numFmtId="179" fontId="0" fillId="0" borderId="0" xfId="48" applyFont="1" applyBorder="1" applyAlignment="1">
      <alignment/>
    </xf>
    <xf numFmtId="179" fontId="0" fillId="33" borderId="0" xfId="0" applyNumberFormat="1" applyFill="1" applyAlignment="1" applyProtection="1">
      <alignment/>
      <protection locked="0"/>
    </xf>
    <xf numFmtId="179" fontId="0" fillId="0" borderId="10" xfId="48" applyFont="1" applyBorder="1" applyAlignment="1">
      <alignment horizontal="center"/>
    </xf>
    <xf numFmtId="0" fontId="0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33" borderId="0" xfId="5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179" fontId="1" fillId="0" borderId="0" xfId="48" applyFont="1" applyAlignment="1">
      <alignment horizontal="centerContinuous"/>
    </xf>
    <xf numFmtId="196" fontId="1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0" fontId="0" fillId="33" borderId="0" xfId="0" applyNumberFormat="1" applyFill="1" applyAlignment="1" applyProtection="1">
      <alignment horizontal="center"/>
      <protection locked="0"/>
    </xf>
    <xf numFmtId="9" fontId="0" fillId="0" borderId="0" xfId="51" applyFont="1" applyAlignment="1">
      <alignment horizontal="center"/>
    </xf>
    <xf numFmtId="179" fontId="1" fillId="0" borderId="0" xfId="48" applyFont="1" applyAlignment="1">
      <alignment horizontal="right"/>
    </xf>
    <xf numFmtId="179" fontId="1" fillId="0" borderId="0" xfId="48" applyFont="1" applyAlignment="1">
      <alignment/>
    </xf>
    <xf numFmtId="179" fontId="0" fillId="0" borderId="0" xfId="48" applyFont="1" applyAlignment="1">
      <alignment horizontal="right"/>
    </xf>
    <xf numFmtId="0" fontId="0" fillId="0" borderId="0" xfId="0" applyAlignment="1">
      <alignment horizontal="centerContinuous"/>
    </xf>
    <xf numFmtId="9" fontId="0" fillId="33" borderId="0" xfId="5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87" fontId="1" fillId="0" borderId="0" xfId="51" applyNumberFormat="1" applyFont="1" applyAlignment="1">
      <alignment horizontal="center"/>
    </xf>
    <xf numFmtId="179" fontId="0" fillId="0" borderId="0" xfId="48" applyFont="1" applyFill="1" applyAlignment="1" applyProtection="1">
      <alignment/>
      <protection/>
    </xf>
    <xf numFmtId="0" fontId="1" fillId="0" borderId="0" xfId="0" applyFont="1" applyAlignment="1">
      <alignment/>
    </xf>
    <xf numFmtId="179" fontId="0" fillId="34" borderId="0" xfId="48" applyFont="1" applyFill="1" applyAlignment="1">
      <alignment/>
    </xf>
    <xf numFmtId="0" fontId="0" fillId="34" borderId="0" xfId="0" applyFill="1" applyAlignment="1">
      <alignment horizontal="center"/>
    </xf>
    <xf numFmtId="9" fontId="0" fillId="35" borderId="0" xfId="51" applyFont="1" applyFill="1" applyAlignment="1">
      <alignment horizontal="center"/>
    </xf>
    <xf numFmtId="196" fontId="0" fillId="0" borderId="0" xfId="0" applyNumberFormat="1" applyBorder="1" applyAlignment="1">
      <alignment/>
    </xf>
    <xf numFmtId="9" fontId="0" fillId="33" borderId="0" xfId="51" applyNumberFormat="1" applyFont="1" applyFill="1" applyAlignment="1" applyProtection="1">
      <alignment horizontal="center"/>
      <protection locked="0"/>
    </xf>
    <xf numFmtId="188" fontId="0" fillId="0" borderId="0" xfId="0" applyNumberFormat="1" applyAlignment="1">
      <alignment horizontal="center"/>
    </xf>
    <xf numFmtId="179" fontId="1" fillId="0" borderId="0" xfId="48" applyFont="1" applyAlignment="1">
      <alignment/>
    </xf>
    <xf numFmtId="179" fontId="1" fillId="0" borderId="10" xfId="48" applyFont="1" applyBorder="1" applyAlignment="1">
      <alignment/>
    </xf>
    <xf numFmtId="0" fontId="0" fillId="0" borderId="0" xfId="0" applyAlignment="1">
      <alignment horizontal="right"/>
    </xf>
    <xf numFmtId="188" fontId="1" fillId="33" borderId="0" xfId="51" applyNumberFormat="1" applyFont="1" applyFill="1" applyBorder="1" applyAlignment="1" applyProtection="1">
      <alignment horizontal="center"/>
      <protection locked="0"/>
    </xf>
    <xf numFmtId="179" fontId="1" fillId="33" borderId="0" xfId="48" applyFont="1" applyFill="1" applyAlignment="1" applyProtection="1">
      <alignment horizontal="center"/>
      <protection locked="0"/>
    </xf>
    <xf numFmtId="196" fontId="0" fillId="36" borderId="0" xfId="48" applyNumberFormat="1" applyFont="1" applyFill="1" applyAlignment="1" applyProtection="1">
      <alignment/>
      <protection locked="0"/>
    </xf>
    <xf numFmtId="188" fontId="1" fillId="0" borderId="0" xfId="51" applyNumberFormat="1" applyFont="1" applyAlignment="1">
      <alignment horizontal="center"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 horizontal="left"/>
    </xf>
    <xf numFmtId="0" fontId="0" fillId="37" borderId="11" xfId="0" applyFill="1" applyBorder="1" applyAlignment="1">
      <alignment/>
    </xf>
    <xf numFmtId="179" fontId="0" fillId="37" borderId="11" xfId="48" applyFont="1" applyFill="1" applyBorder="1" applyAlignment="1">
      <alignment/>
    </xf>
    <xf numFmtId="179" fontId="0" fillId="36" borderId="11" xfId="48" applyFont="1" applyFill="1" applyBorder="1" applyAlignment="1">
      <alignment/>
    </xf>
    <xf numFmtId="179" fontId="1" fillId="37" borderId="11" xfId="48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179" fontId="1" fillId="37" borderId="11" xfId="48" applyFont="1" applyFill="1" applyBorder="1" applyAlignment="1">
      <alignment horizontal="center" vertical="center"/>
    </xf>
    <xf numFmtId="179" fontId="1" fillId="37" borderId="11" xfId="48" applyFont="1" applyFill="1" applyBorder="1" applyAlignment="1">
      <alignment horizontal="center" vertical="center" wrapText="1"/>
    </xf>
    <xf numFmtId="179" fontId="1" fillId="36" borderId="11" xfId="48" applyFont="1" applyFill="1" applyBorder="1" applyAlignment="1">
      <alignment horizontal="center" vertical="center" wrapText="1"/>
    </xf>
    <xf numFmtId="188" fontId="1" fillId="33" borderId="11" xfId="51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48" applyFont="1" applyAlignment="1">
      <alignment/>
    </xf>
    <xf numFmtId="179" fontId="0" fillId="0" borderId="0" xfId="48" applyAlignment="1">
      <alignment/>
    </xf>
    <xf numFmtId="10" fontId="0" fillId="0" borderId="0" xfId="51" applyNumberFormat="1" applyAlignment="1">
      <alignment horizontal="center"/>
    </xf>
    <xf numFmtId="175" fontId="0" fillId="0" borderId="0" xfId="48" applyNumberFormat="1" applyFont="1" applyAlignment="1">
      <alignment/>
    </xf>
    <xf numFmtId="179" fontId="1" fillId="0" borderId="0" xfId="48" applyFont="1" applyAlignment="1">
      <alignment horizontal="center"/>
    </xf>
    <xf numFmtId="196" fontId="1" fillId="0" borderId="0" xfId="0" applyNumberFormat="1" applyFont="1" applyAlignment="1">
      <alignment/>
    </xf>
    <xf numFmtId="179" fontId="0" fillId="0" borderId="10" xfId="0" applyNumberFormat="1" applyBorder="1" applyAlignment="1">
      <alignment/>
    </xf>
    <xf numFmtId="179" fontId="1" fillId="37" borderId="11" xfId="48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center"/>
    </xf>
    <xf numFmtId="196" fontId="1" fillId="0" borderId="0" xfId="0" applyNumberFormat="1" applyFont="1" applyAlignment="1">
      <alignment horizontal="left"/>
    </xf>
    <xf numFmtId="179" fontId="1" fillId="33" borderId="0" xfId="48" applyFont="1" applyFill="1" applyAlignment="1" applyProtection="1">
      <alignment/>
      <protection locked="0"/>
    </xf>
    <xf numFmtId="179" fontId="0" fillId="0" borderId="0" xfId="48" applyFont="1" applyAlignment="1">
      <alignment horizontal="left"/>
    </xf>
    <xf numFmtId="179" fontId="2" fillId="0" borderId="0" xfId="48" applyFont="1" applyAlignment="1">
      <alignment/>
    </xf>
    <xf numFmtId="0" fontId="1" fillId="0" borderId="12" xfId="0" applyFont="1" applyBorder="1" applyAlignment="1">
      <alignment/>
    </xf>
    <xf numFmtId="179" fontId="1" fillId="0" borderId="12" xfId="48" applyFont="1" applyBorder="1" applyAlignment="1">
      <alignment/>
    </xf>
    <xf numFmtId="0" fontId="1" fillId="0" borderId="12" xfId="0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65" zoomScaleNormal="65" zoomScalePageLayoutView="0" workbookViewId="0" topLeftCell="A1">
      <selection activeCell="A72" sqref="A72"/>
    </sheetView>
  </sheetViews>
  <sheetFormatPr defaultColWidth="11.421875" defaultRowHeight="12.75"/>
  <cols>
    <col min="1" max="1" width="6.140625" style="0" customWidth="1"/>
    <col min="2" max="2" width="19.57421875" style="1" customWidth="1"/>
    <col min="3" max="3" width="20.140625" style="10" customWidth="1"/>
    <col min="4" max="4" width="19.28125" style="15" bestFit="1" customWidth="1"/>
    <col min="5" max="5" width="18.140625" style="0" customWidth="1"/>
    <col min="6" max="6" width="18.140625" style="0" bestFit="1" customWidth="1"/>
    <col min="7" max="7" width="19.00390625" style="0" bestFit="1" customWidth="1"/>
    <col min="8" max="8" width="19.00390625" style="0" customWidth="1"/>
    <col min="9" max="9" width="19.28125" style="0" bestFit="1" customWidth="1"/>
    <col min="10" max="11" width="15.28125" style="0" customWidth="1"/>
  </cols>
  <sheetData>
    <row r="1" spans="1:9" ht="18">
      <c r="A1" s="37" t="s">
        <v>0</v>
      </c>
      <c r="B1" s="34"/>
      <c r="C1" s="34"/>
      <c r="D1" s="35"/>
      <c r="E1" s="36"/>
      <c r="F1" s="34"/>
      <c r="G1" s="34"/>
      <c r="H1" s="34"/>
      <c r="I1" s="34"/>
    </row>
    <row r="2" spans="2:8" ht="12.75">
      <c r="B2"/>
      <c r="C2"/>
      <c r="D2" s="1"/>
      <c r="E2" s="16"/>
      <c r="F2" s="32"/>
      <c r="G2" s="32"/>
      <c r="H2" s="32"/>
    </row>
    <row r="3" spans="1:5" ht="12.75">
      <c r="A3" s="49" t="s">
        <v>50</v>
      </c>
      <c r="B3"/>
      <c r="C3"/>
      <c r="D3" s="1"/>
      <c r="E3" s="16"/>
    </row>
    <row r="4" spans="1:5" ht="12.75">
      <c r="A4" s="49"/>
      <c r="B4" t="s">
        <v>56</v>
      </c>
      <c r="C4"/>
      <c r="D4" s="22">
        <v>15000</v>
      </c>
      <c r="E4" s="16"/>
    </row>
    <row r="5" spans="1:5" ht="12.75">
      <c r="A5" s="49"/>
      <c r="B5" t="s">
        <v>57</v>
      </c>
      <c r="C5"/>
      <c r="D5" s="22">
        <v>15000</v>
      </c>
      <c r="E5" s="16"/>
    </row>
    <row r="6" spans="1:5" ht="12.75">
      <c r="A6" s="49"/>
      <c r="B6" t="s">
        <v>51</v>
      </c>
      <c r="C6"/>
      <c r="D6" s="22">
        <v>850</v>
      </c>
      <c r="E6" s="16"/>
    </row>
    <row r="7" spans="1:5" ht="12.75">
      <c r="A7" s="49"/>
      <c r="B7" t="s">
        <v>49</v>
      </c>
      <c r="C7"/>
      <c r="D7" s="22">
        <v>10</v>
      </c>
      <c r="E7" s="16"/>
    </row>
    <row r="8" spans="2:5" ht="12.75">
      <c r="B8" t="s">
        <v>1</v>
      </c>
      <c r="C8"/>
      <c r="D8" s="1">
        <f>D7*D5</f>
        <v>150000</v>
      </c>
      <c r="E8" s="16"/>
    </row>
    <row r="9" spans="2:5" ht="12.75">
      <c r="B9" t="s">
        <v>2</v>
      </c>
      <c r="C9"/>
      <c r="D9" s="1">
        <f>D8*1.2</f>
        <v>180000</v>
      </c>
      <c r="E9" s="16"/>
    </row>
    <row r="10" spans="2:5" ht="12.75">
      <c r="B10" t="s">
        <v>3</v>
      </c>
      <c r="C10"/>
      <c r="D10" s="1">
        <f>D8*12</f>
        <v>1800000</v>
      </c>
      <c r="E10" s="17"/>
    </row>
    <row r="11" spans="1:5" ht="12.75">
      <c r="A11" s="49" t="s">
        <v>4</v>
      </c>
      <c r="B11"/>
      <c r="C11"/>
      <c r="D11" s="1"/>
      <c r="E11" s="16"/>
    </row>
    <row r="12" spans="2:5" ht="12.75">
      <c r="B12" t="s">
        <v>5</v>
      </c>
      <c r="C12"/>
      <c r="D12" s="1">
        <f>D6*D4</f>
        <v>12750000</v>
      </c>
      <c r="E12" s="16"/>
    </row>
    <row r="13" spans="2:5" ht="12.75">
      <c r="B13" t="s">
        <v>6</v>
      </c>
      <c r="C13" s="31">
        <v>0.035</v>
      </c>
      <c r="D13" s="1">
        <f>C13*D12</f>
        <v>446250.00000000006</v>
      </c>
      <c r="E13" s="16"/>
    </row>
    <row r="14" spans="2:5" ht="12.75" customHeight="1">
      <c r="B14" t="s">
        <v>7</v>
      </c>
      <c r="C14" s="31">
        <v>0.01</v>
      </c>
      <c r="D14" s="1">
        <f>D12*C14</f>
        <v>127500</v>
      </c>
      <c r="E14" s="16"/>
    </row>
    <row r="15" spans="2:5" ht="12.75" customHeight="1">
      <c r="B15" t="s">
        <v>8</v>
      </c>
      <c r="C15" s="25">
        <v>0</v>
      </c>
      <c r="D15" s="1">
        <f>IF(C15=0,0,D12*0.036)</f>
        <v>0</v>
      </c>
      <c r="E15" s="16"/>
    </row>
    <row r="16" spans="2:5" ht="12.75" customHeight="1">
      <c r="B16" t="s">
        <v>9</v>
      </c>
      <c r="C16"/>
      <c r="D16" s="22">
        <v>250000</v>
      </c>
      <c r="E16" s="16">
        <f>SUM(D12:D16)</f>
        <v>13573750</v>
      </c>
    </row>
    <row r="17" spans="2:5" ht="12.75" customHeight="1">
      <c r="B17" t="s">
        <v>10</v>
      </c>
      <c r="C17"/>
      <c r="D17" s="22"/>
      <c r="E17" s="16"/>
    </row>
    <row r="18" spans="2:5" ht="12.75" customHeight="1">
      <c r="B18" t="s">
        <v>11</v>
      </c>
      <c r="C18"/>
      <c r="D18" s="48">
        <f>IF(C15=0.036,D15/6,0)</f>
        <v>0</v>
      </c>
      <c r="E18" s="16"/>
    </row>
    <row r="19" spans="2:5" ht="12.75" customHeight="1">
      <c r="B19" t="s">
        <v>12</v>
      </c>
      <c r="C19"/>
      <c r="D19" s="22">
        <v>0</v>
      </c>
      <c r="E19" s="16"/>
    </row>
    <row r="20" spans="2:5" ht="12.75" customHeight="1" thickBot="1">
      <c r="B20" s="5"/>
      <c r="C20" s="20" t="s">
        <v>4</v>
      </c>
      <c r="D20" s="4">
        <f>SUM(D12:D17)-D18-D19</f>
        <v>13573750</v>
      </c>
      <c r="E20" s="16"/>
    </row>
    <row r="21" spans="2:5" ht="12.75" customHeight="1" thickTop="1">
      <c r="B21" s="5"/>
      <c r="C21" s="30" t="s">
        <v>13</v>
      </c>
      <c r="D21" s="33">
        <v>0</v>
      </c>
      <c r="E21" s="16">
        <f>E16*D21</f>
        <v>0</v>
      </c>
    </row>
    <row r="22" spans="2:5" ht="12.75" customHeight="1">
      <c r="B22" s="5"/>
      <c r="C22" s="30"/>
      <c r="D22" s="27"/>
      <c r="E22" s="16"/>
    </row>
    <row r="23" spans="2:5" ht="12.75" customHeight="1">
      <c r="B23" t="s">
        <v>14</v>
      </c>
      <c r="C23"/>
      <c r="D23" s="1"/>
      <c r="E23" s="16">
        <f>D8*12</f>
        <v>1800000</v>
      </c>
    </row>
    <row r="24" spans="2:5" ht="12.75" customHeight="1">
      <c r="B24" t="s">
        <v>15</v>
      </c>
      <c r="C24" s="38">
        <v>0</v>
      </c>
      <c r="D24" s="1">
        <f>(D20-D17)*(1-D21)</f>
        <v>13573750</v>
      </c>
      <c r="E24" s="17">
        <f>D24*C24</f>
        <v>0</v>
      </c>
    </row>
    <row r="25" spans="2:6" ht="12.75" customHeight="1">
      <c r="B25"/>
      <c r="C25" s="38">
        <v>0.1</v>
      </c>
      <c r="D25" s="1">
        <f>D17</f>
        <v>0</v>
      </c>
      <c r="E25" s="17">
        <f>D25*C25</f>
        <v>0</v>
      </c>
      <c r="F25" s="16">
        <f>SUM(E24:E25)</f>
        <v>0</v>
      </c>
    </row>
    <row r="26" spans="2:5" ht="12.75" customHeight="1">
      <c r="B26" t="s">
        <v>16</v>
      </c>
      <c r="C26"/>
      <c r="D26" s="1"/>
      <c r="E26" s="23">
        <v>600000</v>
      </c>
    </row>
    <row r="27" spans="2:5" ht="12.75" customHeight="1">
      <c r="B27"/>
      <c r="C27"/>
      <c r="D27" s="1"/>
      <c r="E27" s="16"/>
    </row>
    <row r="28" spans="2:8" ht="12.75" customHeight="1" thickBot="1">
      <c r="B28"/>
      <c r="C28" t="s">
        <v>17</v>
      </c>
      <c r="D28" s="1"/>
      <c r="E28" s="18">
        <f>D10-E24-E25-E26</f>
        <v>1200000</v>
      </c>
      <c r="F28" t="s">
        <v>18</v>
      </c>
      <c r="G28" s="18">
        <f>E23-E26</f>
        <v>1200000</v>
      </c>
      <c r="H28" s="53"/>
    </row>
    <row r="29" spans="1:6" ht="12.75" customHeight="1" thickTop="1">
      <c r="A29" s="49" t="s">
        <v>19</v>
      </c>
      <c r="B29"/>
      <c r="C29"/>
      <c r="D29" s="1"/>
      <c r="E29" s="16"/>
      <c r="F29" s="9"/>
    </row>
    <row r="30" spans="2:9" ht="12.75" customHeight="1">
      <c r="B30" t="s">
        <v>20</v>
      </c>
      <c r="C30" s="24">
        <v>30</v>
      </c>
      <c r="D30" s="1">
        <f>C30*12</f>
        <v>360</v>
      </c>
      <c r="E30" s="32">
        <f>NPER(D33,(C31+C32),-C35,0)</f>
        <v>359.9999999999954</v>
      </c>
      <c r="F30" s="16"/>
      <c r="G30" s="16"/>
      <c r="H30" s="16"/>
      <c r="I30" s="16"/>
    </row>
    <row r="31" spans="2:9" ht="12.75" customHeight="1">
      <c r="B31" t="s">
        <v>21</v>
      </c>
      <c r="C31" s="14">
        <f>G28/12</f>
        <v>100000</v>
      </c>
      <c r="D31" s="1">
        <f>C31*12</f>
        <v>1200000</v>
      </c>
      <c r="E31" s="16"/>
      <c r="F31" s="16"/>
      <c r="G31" s="16"/>
      <c r="H31" s="16"/>
      <c r="I31" s="16"/>
    </row>
    <row r="32" spans="2:9" ht="12.75" customHeight="1">
      <c r="B32" t="s">
        <v>23</v>
      </c>
      <c r="C32" s="28">
        <v>0</v>
      </c>
      <c r="D32" s="1">
        <f>C32*12</f>
        <v>0</v>
      </c>
      <c r="E32" s="16"/>
      <c r="F32" s="16"/>
      <c r="G32" s="16"/>
      <c r="H32" s="16"/>
      <c r="I32" s="16"/>
    </row>
    <row r="33" spans="2:9" ht="12.75" customHeight="1">
      <c r="B33" t="s">
        <v>22</v>
      </c>
      <c r="C33" s="25">
        <v>0.0575</v>
      </c>
      <c r="D33" s="26">
        <f>C33/12</f>
        <v>0.004791666666666667</v>
      </c>
      <c r="E33" s="16"/>
      <c r="F33" s="16"/>
      <c r="G33" s="16"/>
      <c r="H33" s="16"/>
      <c r="I33" s="16"/>
    </row>
    <row r="34" spans="2:9" ht="12.75">
      <c r="B34"/>
      <c r="C34"/>
      <c r="D34" s="1"/>
      <c r="E34" s="16"/>
      <c r="F34" s="16"/>
      <c r="G34" s="16"/>
      <c r="H34" s="16"/>
      <c r="I34" s="16"/>
    </row>
    <row r="35" spans="2:9" ht="13.5" thickBot="1">
      <c r="B35" t="s">
        <v>24</v>
      </c>
      <c r="C35" s="4">
        <f>-PV(D33,D30,C31+C32,0)</f>
        <v>17135820.985476702</v>
      </c>
      <c r="D35" s="8"/>
      <c r="F35" s="16"/>
      <c r="G35" s="16"/>
      <c r="H35" s="16"/>
      <c r="I35" s="16"/>
    </row>
    <row r="36" spans="6:9" ht="13.5" thickTop="1">
      <c r="F36" s="16"/>
      <c r="G36" s="16"/>
      <c r="H36" s="16"/>
      <c r="I36" s="16"/>
    </row>
    <row r="37" spans="2:9" ht="13.5" thickBot="1">
      <c r="B37" s="1" t="s">
        <v>25</v>
      </c>
      <c r="C37" s="4">
        <f>D20</f>
        <v>13573750</v>
      </c>
      <c r="F37" s="16"/>
      <c r="G37" s="16"/>
      <c r="H37" s="16"/>
      <c r="I37" s="16"/>
    </row>
    <row r="38" spans="6:9" ht="13.5" thickTop="1">
      <c r="F38" s="16"/>
      <c r="G38" s="16"/>
      <c r="H38" s="16"/>
      <c r="I38" s="16"/>
    </row>
    <row r="39" spans="2:9" ht="13.5" thickBot="1">
      <c r="B39" s="42" t="str">
        <f>IF(C39&gt;0,"Eigenmittelbedarf","Barwert der Investition")</f>
        <v>Barwert der Investition</v>
      </c>
      <c r="C39" s="29">
        <f>C37-C35</f>
        <v>-3562070.9854767025</v>
      </c>
      <c r="F39" s="16"/>
      <c r="G39" s="16"/>
      <c r="H39" s="16"/>
      <c r="I39" s="16"/>
    </row>
    <row r="40" spans="6:9" ht="13.5" thickTop="1">
      <c r="F40" s="16"/>
      <c r="G40" s="16"/>
      <c r="H40" s="16"/>
      <c r="I40" s="16"/>
    </row>
    <row r="41" spans="1:9" ht="12.75">
      <c r="A41" s="11" t="s">
        <v>26</v>
      </c>
      <c r="B41" s="11" t="s">
        <v>52</v>
      </c>
      <c r="C41" s="11" t="s">
        <v>15</v>
      </c>
      <c r="D41" s="21" t="s">
        <v>28</v>
      </c>
      <c r="E41" s="21" t="s">
        <v>27</v>
      </c>
      <c r="F41" s="11" t="s">
        <v>29</v>
      </c>
      <c r="G41" s="11" t="s">
        <v>30</v>
      </c>
      <c r="H41" s="11" t="s">
        <v>59</v>
      </c>
      <c r="I41" s="11" t="s">
        <v>31</v>
      </c>
    </row>
    <row r="42" spans="1:11" ht="12.75">
      <c r="A42" s="10"/>
      <c r="B42"/>
      <c r="E42" s="1"/>
      <c r="H42" s="54">
        <v>0.5</v>
      </c>
      <c r="K42" s="39"/>
    </row>
    <row r="43" spans="1:11" ht="12.75">
      <c r="A43" s="10">
        <f>IF($C$30+0.1&gt;1,1,"")</f>
        <v>1</v>
      </c>
      <c r="B43" s="5">
        <f>IF($E43="","",E$23)</f>
        <v>1800000</v>
      </c>
      <c r="C43" s="15">
        <f aca="true" t="shared" si="0" ref="C43:C72">IF($E43="","",(IF($C$25*$A43&lt;1.00001,$F$25,$E$24)))</f>
        <v>0</v>
      </c>
      <c r="D43" s="15">
        <f aca="true" t="shared" si="1" ref="D43:D72">IF($E43="","",$E$26)</f>
        <v>600000</v>
      </c>
      <c r="E43" s="1">
        <f>IF(Berechnung!E50=0,"",Berechnung!E50)</f>
        <v>775936.4194065565</v>
      </c>
      <c r="F43" s="5">
        <f>IF($E43="","",-SUM(C43:E43))</f>
        <v>-1375936.4194065565</v>
      </c>
      <c r="G43" s="5">
        <f aca="true" t="shared" si="2" ref="G43:G72">IF($E43="","",F43+B43)</f>
        <v>424063.5805934435</v>
      </c>
      <c r="H43" s="5"/>
      <c r="I43" s="5">
        <f aca="true" t="shared" si="3" ref="I43:I72">IF($E43="","",I42+G43)</f>
        <v>424063.5805934435</v>
      </c>
      <c r="K43" s="1"/>
    </row>
    <row r="44" spans="1:11" ht="12.75">
      <c r="A44" s="10">
        <f>IF($C$30+0.1&gt;2,2,"")</f>
        <v>2</v>
      </c>
      <c r="B44" s="5">
        <f aca="true" t="shared" si="4" ref="B44:B78">IF($E44="","",E$23)</f>
        <v>1800000</v>
      </c>
      <c r="C44" s="15">
        <f t="shared" si="0"/>
        <v>0</v>
      </c>
      <c r="D44" s="15">
        <f t="shared" si="1"/>
        <v>600000</v>
      </c>
      <c r="E44" s="1">
        <f>IF(Berechnung!E62=0,"",Berechnung!E62)</f>
        <v>765627.106777535</v>
      </c>
      <c r="F44" s="5">
        <f aca="true" t="shared" si="5" ref="F44:F75">IF($E44="","",-SUM(C44:E44))</f>
        <v>-1365627.106777535</v>
      </c>
      <c r="G44" s="5">
        <f t="shared" si="2"/>
        <v>434372.89322246495</v>
      </c>
      <c r="H44" s="5"/>
      <c r="I44" s="5">
        <f t="shared" si="3"/>
        <v>858436.4738159084</v>
      </c>
      <c r="K44" s="1"/>
    </row>
    <row r="45" spans="1:11" ht="12.75">
      <c r="A45" s="10">
        <f>IF($C$30+0.1&gt;3,3,"")</f>
        <v>3</v>
      </c>
      <c r="B45" s="5">
        <f t="shared" si="4"/>
        <v>1800000</v>
      </c>
      <c r="C45" s="15">
        <f t="shared" si="0"/>
        <v>0</v>
      </c>
      <c r="D45" s="15">
        <f t="shared" si="1"/>
        <v>600000</v>
      </c>
      <c r="E45" s="1">
        <f>IF(Berechnung!E74=0,"",Berechnung!E74)</f>
        <v>754709.1340702671</v>
      </c>
      <c r="F45" s="5">
        <f t="shared" si="5"/>
        <v>-1354709.134070267</v>
      </c>
      <c r="G45" s="5">
        <f t="shared" si="2"/>
        <v>445290.86592973303</v>
      </c>
      <c r="H45" s="5"/>
      <c r="I45" s="5">
        <f t="shared" si="3"/>
        <v>1303727.3397456415</v>
      </c>
      <c r="K45" s="1"/>
    </row>
    <row r="46" spans="1:11" ht="12.75">
      <c r="A46" s="10">
        <f>IF($C$30+0.1&gt;4,4,"")</f>
        <v>4</v>
      </c>
      <c r="B46" s="5">
        <f t="shared" si="4"/>
        <v>1800000</v>
      </c>
      <c r="C46" s="15">
        <f t="shared" si="0"/>
        <v>0</v>
      </c>
      <c r="D46" s="15">
        <f t="shared" si="1"/>
        <v>600000</v>
      </c>
      <c r="E46" s="1">
        <f>IF(Berechnung!E86=0,"",Berechnung!E86)</f>
        <v>743146.5660964249</v>
      </c>
      <c r="F46" s="5">
        <f t="shared" si="5"/>
        <v>-1343146.566096425</v>
      </c>
      <c r="G46" s="5">
        <f t="shared" si="2"/>
        <v>456853.43390357494</v>
      </c>
      <c r="H46" s="5"/>
      <c r="I46" s="5">
        <f t="shared" si="3"/>
        <v>1760580.7736492164</v>
      </c>
      <c r="K46" s="1"/>
    </row>
    <row r="47" spans="1:11" ht="12.75">
      <c r="A47" s="10">
        <f>IF($C$30+0.1&gt;5,5,"")</f>
        <v>5</v>
      </c>
      <c r="B47" s="5">
        <f t="shared" si="4"/>
        <v>1800000</v>
      </c>
      <c r="C47" s="15">
        <f t="shared" si="0"/>
        <v>0</v>
      </c>
      <c r="D47" s="15">
        <f t="shared" si="1"/>
        <v>600000</v>
      </c>
      <c r="E47" s="1">
        <f>IF(Berechnung!E98=0,"",Berechnung!E98)</f>
        <v>730901.3460602252</v>
      </c>
      <c r="F47" s="5">
        <f t="shared" si="5"/>
        <v>-1330901.3460602253</v>
      </c>
      <c r="G47" s="5">
        <f t="shared" si="2"/>
        <v>469098.6539397747</v>
      </c>
      <c r="H47" s="5"/>
      <c r="I47" s="5">
        <f t="shared" si="3"/>
        <v>2229679.427588991</v>
      </c>
      <c r="K47" s="1"/>
    </row>
    <row r="48" spans="1:11" ht="12.75">
      <c r="A48" s="10">
        <f>IF($C$30+0.1&gt;6,6,"")</f>
        <v>6</v>
      </c>
      <c r="B48" s="5">
        <f t="shared" si="4"/>
        <v>1800000</v>
      </c>
      <c r="C48" s="15">
        <f t="shared" si="0"/>
        <v>0</v>
      </c>
      <c r="D48" s="15">
        <f t="shared" si="1"/>
        <v>600000</v>
      </c>
      <c r="E48" s="1">
        <f>IF(Berechnung!E110=0,"",Berechnung!E110)</f>
        <v>717933.1702990822</v>
      </c>
      <c r="F48" s="5">
        <f t="shared" si="5"/>
        <v>-1317933.170299082</v>
      </c>
      <c r="G48" s="5">
        <f t="shared" si="2"/>
        <v>482066.82970091794</v>
      </c>
      <c r="H48" s="5"/>
      <c r="I48" s="5">
        <f t="shared" si="3"/>
        <v>2711746.257289909</v>
      </c>
      <c r="K48" s="1"/>
    </row>
    <row r="49" spans="1:11" ht="12.75">
      <c r="A49" s="10">
        <f>IF($C$30+0.1&gt;7,7,"")</f>
        <v>7</v>
      </c>
      <c r="B49" s="5">
        <f t="shared" si="4"/>
        <v>1800000</v>
      </c>
      <c r="C49" s="15">
        <f t="shared" si="0"/>
        <v>0</v>
      </c>
      <c r="D49" s="15">
        <f t="shared" si="1"/>
        <v>600000</v>
      </c>
      <c r="E49" s="1">
        <f>IF(Berechnung!E122=0,"",Berechnung!E122)</f>
        <v>704199.3556289712</v>
      </c>
      <c r="F49" s="5">
        <f t="shared" si="5"/>
        <v>-1304199.3556289712</v>
      </c>
      <c r="G49" s="5">
        <f t="shared" si="2"/>
        <v>495800.64437102876</v>
      </c>
      <c r="H49" s="5"/>
      <c r="I49" s="5">
        <f t="shared" si="3"/>
        <v>3207546.901660938</v>
      </c>
      <c r="K49" s="1"/>
    </row>
    <row r="50" spans="1:11" ht="12.75">
      <c r="A50" s="10">
        <f>IF($C$30+0.1&gt;8,8,"")</f>
        <v>8</v>
      </c>
      <c r="B50" s="5">
        <f t="shared" si="4"/>
        <v>1800000</v>
      </c>
      <c r="C50" s="15">
        <f t="shared" si="0"/>
        <v>0</v>
      </c>
      <c r="D50" s="15">
        <f t="shared" si="1"/>
        <v>600000</v>
      </c>
      <c r="E50" s="1">
        <f>IF(Berechnung!E134=0,"",Berechnung!E134)</f>
        <v>689654.698857884</v>
      </c>
      <c r="F50" s="5">
        <f t="shared" si="5"/>
        <v>-1289654.698857884</v>
      </c>
      <c r="G50" s="5">
        <f t="shared" si="2"/>
        <v>510345.3011421161</v>
      </c>
      <c r="H50" s="5"/>
      <c r="I50" s="5">
        <f t="shared" si="3"/>
        <v>3717892.202803054</v>
      </c>
      <c r="K50" s="1"/>
    </row>
    <row r="51" spans="1:11" ht="12.75">
      <c r="A51" s="10">
        <f>IF($C$30+0.1&gt;9,9,"")</f>
        <v>9</v>
      </c>
      <c r="B51" s="5">
        <f t="shared" si="4"/>
        <v>1800000</v>
      </c>
      <c r="C51" s="15">
        <f t="shared" si="0"/>
        <v>0</v>
      </c>
      <c r="D51" s="15">
        <f t="shared" si="1"/>
        <v>600000</v>
      </c>
      <c r="E51" s="1">
        <f>IF(Berechnung!E146=0,"",Berechnung!E146)</f>
        <v>674251.3280049833</v>
      </c>
      <c r="F51" s="5">
        <f t="shared" si="5"/>
        <v>-1274251.3280049833</v>
      </c>
      <c r="G51" s="5">
        <f t="shared" si="2"/>
        <v>525748.6719950167</v>
      </c>
      <c r="H51" s="5"/>
      <c r="I51" s="5">
        <f t="shared" si="3"/>
        <v>4243640.874798071</v>
      </c>
      <c r="K51" s="1"/>
    </row>
    <row r="52" spans="1:11" ht="12.75">
      <c r="A52" s="10">
        <f>IF($C$30+0.1&gt;10,10,"")</f>
        <v>10</v>
      </c>
      <c r="B52" s="5">
        <f t="shared" si="4"/>
        <v>1800000</v>
      </c>
      <c r="C52" s="15">
        <f t="shared" si="0"/>
        <v>0</v>
      </c>
      <c r="D52" s="15">
        <f t="shared" si="1"/>
        <v>600000</v>
      </c>
      <c r="E52" s="1">
        <f>IF(Berechnung!E158=0,"",Berechnung!E158)</f>
        <v>657938.5447357594</v>
      </c>
      <c r="F52" s="5">
        <f t="shared" si="5"/>
        <v>-1257938.5447357595</v>
      </c>
      <c r="G52" s="5">
        <f t="shared" si="2"/>
        <v>542061.4552642405</v>
      </c>
      <c r="H52" s="5"/>
      <c r="I52" s="5">
        <f t="shared" si="3"/>
        <v>4785702.330062311</v>
      </c>
      <c r="K52" s="1"/>
    </row>
    <row r="53" spans="1:11" ht="12.75">
      <c r="A53" s="10">
        <f>IF($C$30+0.1&gt;11,11,"")</f>
        <v>11</v>
      </c>
      <c r="B53" s="5">
        <f t="shared" si="4"/>
        <v>1800000</v>
      </c>
      <c r="C53" s="15">
        <f t="shared" si="0"/>
        <v>0</v>
      </c>
      <c r="D53" s="15">
        <f t="shared" si="1"/>
        <v>600000</v>
      </c>
      <c r="E53" s="1">
        <f>IF(Berechnung!E170=0,"",Berechnung!E170)</f>
        <v>640662.6574945871</v>
      </c>
      <c r="F53" s="5">
        <f t="shared" si="5"/>
        <v>-1240662.6574945871</v>
      </c>
      <c r="G53" s="5">
        <f t="shared" si="2"/>
        <v>559337.3425054129</v>
      </c>
      <c r="H53" s="5"/>
      <c r="I53" s="5">
        <f t="shared" si="3"/>
        <v>5345039.672567724</v>
      </c>
      <c r="K53" s="1"/>
    </row>
    <row r="54" spans="1:11" ht="12.75">
      <c r="A54" s="10">
        <f>IF($C$30+0.1&gt;12,12,"")</f>
        <v>12</v>
      </c>
      <c r="B54" s="5">
        <f t="shared" si="4"/>
        <v>1800000</v>
      </c>
      <c r="C54" s="15">
        <f t="shared" si="0"/>
        <v>0</v>
      </c>
      <c r="D54" s="15">
        <f t="shared" si="1"/>
        <v>600000</v>
      </c>
      <c r="E54" s="1">
        <f>IF(Berechnung!E182=0,"",Berechnung!E182)</f>
        <v>622366.8047854563</v>
      </c>
      <c r="F54" s="5">
        <f t="shared" si="5"/>
        <v>-1222366.8047854563</v>
      </c>
      <c r="G54" s="5">
        <f t="shared" si="2"/>
        <v>577633.1952145437</v>
      </c>
      <c r="H54" s="5"/>
      <c r="I54" s="5">
        <f t="shared" si="3"/>
        <v>5922672.867782268</v>
      </c>
      <c r="K54" s="1"/>
    </row>
    <row r="55" spans="1:11" ht="12.75">
      <c r="A55" s="10">
        <f>IF($C$30+0.1&gt;13,13,"")</f>
        <v>13</v>
      </c>
      <c r="B55" s="5">
        <f t="shared" si="4"/>
        <v>1800000</v>
      </c>
      <c r="C55" s="15">
        <f t="shared" si="0"/>
        <v>0</v>
      </c>
      <c r="D55" s="15">
        <f t="shared" si="1"/>
        <v>600000</v>
      </c>
      <c r="E55" s="1">
        <f>IF(Berechnung!E194=0,"",Berechnung!E194)</f>
        <v>602990.7680192254</v>
      </c>
      <c r="F55" s="5">
        <f t="shared" si="5"/>
        <v>-1202990.7680192254</v>
      </c>
      <c r="G55" s="5">
        <f t="shared" si="2"/>
        <v>597009.2319807746</v>
      </c>
      <c r="H55" s="5"/>
      <c r="I55" s="5">
        <f t="shared" si="3"/>
        <v>6519682.099763042</v>
      </c>
      <c r="K55" s="1"/>
    </row>
    <row r="56" spans="1:11" ht="12.75">
      <c r="A56" s="10">
        <f>IF($C$30+0.1&gt;14,14,"")</f>
        <v>14</v>
      </c>
      <c r="B56" s="5">
        <f t="shared" si="4"/>
        <v>1800000</v>
      </c>
      <c r="C56" s="15">
        <f t="shared" si="0"/>
        <v>0</v>
      </c>
      <c r="D56" s="15">
        <f t="shared" si="1"/>
        <v>600000</v>
      </c>
      <c r="E56" s="1">
        <f>IF(Berechnung!E206=0,"",Berechnung!E206)</f>
        <v>582470.7733114102</v>
      </c>
      <c r="F56" s="5">
        <f t="shared" si="5"/>
        <v>-1182470.77331141</v>
      </c>
      <c r="G56" s="5">
        <f t="shared" si="2"/>
        <v>617529.2266885899</v>
      </c>
      <c r="H56" s="5"/>
      <c r="I56" s="5">
        <f t="shared" si="3"/>
        <v>7137211.326451632</v>
      </c>
      <c r="K56" s="1"/>
    </row>
    <row r="57" spans="1:11" ht="12.75">
      <c r="A57" s="10">
        <f>IF($C$30+0.1&gt;15,15,"")</f>
        <v>15</v>
      </c>
      <c r="B57" s="5">
        <f t="shared" si="4"/>
        <v>1800000</v>
      </c>
      <c r="C57" s="15">
        <f t="shared" si="0"/>
        <v>0</v>
      </c>
      <c r="D57" s="15">
        <f t="shared" si="1"/>
        <v>600000</v>
      </c>
      <c r="E57" s="1">
        <f>IF(Berechnung!E218=0,"",Berechnung!E218)</f>
        <v>560739.2815781464</v>
      </c>
      <c r="F57" s="5">
        <f t="shared" si="5"/>
        <v>-1160739.2815781464</v>
      </c>
      <c r="G57" s="5">
        <f t="shared" si="2"/>
        <v>639260.7184218536</v>
      </c>
      <c r="H57" s="5"/>
      <c r="I57" s="5">
        <f t="shared" si="3"/>
        <v>7776472.044873485</v>
      </c>
      <c r="K57" s="1"/>
    </row>
    <row r="58" spans="1:11" ht="12.75">
      <c r="A58" s="10">
        <f>IF($C$30+0.1&gt;16,16,"")</f>
        <v>16</v>
      </c>
      <c r="B58" s="5">
        <f t="shared" si="4"/>
        <v>1800000</v>
      </c>
      <c r="C58" s="15">
        <f t="shared" si="0"/>
        <v>0</v>
      </c>
      <c r="D58" s="15">
        <f t="shared" si="1"/>
        <v>600000</v>
      </c>
      <c r="E58" s="1">
        <f>IF(Berechnung!E230=0,"",Berechnung!E230)</f>
        <v>537724.7662394532</v>
      </c>
      <c r="F58" s="5">
        <f t="shared" si="5"/>
        <v>-1137724.766239453</v>
      </c>
      <c r="G58" s="5">
        <f t="shared" si="2"/>
        <v>662275.2337605469</v>
      </c>
      <c r="H58" s="5"/>
      <c r="I58" s="5">
        <f t="shared" si="3"/>
        <v>8438747.278634032</v>
      </c>
      <c r="K58" s="1"/>
    </row>
    <row r="59" spans="1:11" ht="12.75">
      <c r="A59" s="10">
        <f>IF($C$30+0.1&gt;17,17,"")</f>
        <v>17</v>
      </c>
      <c r="B59" s="5">
        <f t="shared" si="4"/>
        <v>1800000</v>
      </c>
      <c r="C59" s="15">
        <f t="shared" si="0"/>
        <v>0</v>
      </c>
      <c r="D59" s="15">
        <f t="shared" si="1"/>
        <v>600000</v>
      </c>
      <c r="E59" s="1">
        <f>IF(Berechnung!E242=0,"",Berechnung!E242)</f>
        <v>513351.47779813583</v>
      </c>
      <c r="F59" s="5">
        <f t="shared" si="5"/>
        <v>-1113351.477798136</v>
      </c>
      <c r="G59" s="5">
        <f t="shared" si="2"/>
        <v>686648.522201864</v>
      </c>
      <c r="H59" s="5"/>
      <c r="I59" s="5">
        <f t="shared" si="3"/>
        <v>9125395.800835896</v>
      </c>
      <c r="K59" s="1"/>
    </row>
    <row r="60" spans="1:11" ht="12.75">
      <c r="A60" s="10">
        <f>IF($C$30+0.1&gt;18,18,"")</f>
        <v>18</v>
      </c>
      <c r="B60" s="5">
        <f t="shared" si="4"/>
        <v>1800000</v>
      </c>
      <c r="C60" s="15">
        <f t="shared" si="0"/>
        <v>0</v>
      </c>
      <c r="D60" s="15">
        <f t="shared" si="1"/>
        <v>600000</v>
      </c>
      <c r="E60" s="1">
        <f>IF(Berechnung!E254=0,"",Berechnung!E254)</f>
        <v>487539.19451946544</v>
      </c>
      <c r="F60" s="5">
        <f t="shared" si="5"/>
        <v>-1087539.1945194653</v>
      </c>
      <c r="G60" s="5">
        <f t="shared" si="2"/>
        <v>712460.8054805347</v>
      </c>
      <c r="H60" s="5"/>
      <c r="I60" s="5">
        <f t="shared" si="3"/>
        <v>9837856.60631643</v>
      </c>
      <c r="K60" s="1"/>
    </row>
    <row r="61" spans="1:11" ht="12.75">
      <c r="A61" s="10">
        <f>IF($C$30+0.1&gt;19,19,"")</f>
        <v>19</v>
      </c>
      <c r="B61" s="5">
        <f t="shared" si="4"/>
        <v>1800000</v>
      </c>
      <c r="C61" s="15">
        <f t="shared" si="0"/>
        <v>0</v>
      </c>
      <c r="D61" s="15">
        <f t="shared" si="1"/>
        <v>600000</v>
      </c>
      <c r="E61" s="1">
        <f>IF(Berechnung!E266=0,"",Berechnung!E266)</f>
        <v>460202.95839102956</v>
      </c>
      <c r="F61" s="5">
        <f t="shared" si="5"/>
        <v>-1060202.9583910296</v>
      </c>
      <c r="G61" s="5">
        <f t="shared" si="2"/>
        <v>739797.0416089704</v>
      </c>
      <c r="H61" s="5"/>
      <c r="I61" s="5">
        <f t="shared" si="3"/>
        <v>10577653.647925401</v>
      </c>
      <c r="K61" s="1"/>
    </row>
    <row r="62" spans="1:11" ht="12.75">
      <c r="A62" s="10">
        <f>IF($C$30+0.1&gt;20,20,"")</f>
        <v>20</v>
      </c>
      <c r="B62" s="5">
        <f t="shared" si="4"/>
        <v>1800000</v>
      </c>
      <c r="C62" s="15">
        <f t="shared" si="0"/>
        <v>0</v>
      </c>
      <c r="D62" s="15">
        <f t="shared" si="1"/>
        <v>600000</v>
      </c>
      <c r="E62" s="1">
        <f>IF(Berechnung!E278=0,"",Berechnung!E278)</f>
        <v>431252.79549369693</v>
      </c>
      <c r="F62" s="5">
        <f t="shared" si="5"/>
        <v>-1031252.7954936969</v>
      </c>
      <c r="G62" s="5">
        <f t="shared" si="2"/>
        <v>768747.2045063031</v>
      </c>
      <c r="H62" s="5"/>
      <c r="I62" s="5">
        <f t="shared" si="3"/>
        <v>11346400.852431703</v>
      </c>
      <c r="K62" s="1"/>
    </row>
    <row r="63" spans="1:11" ht="12.75">
      <c r="A63" s="10">
        <f>IF($C$30+0.1&gt;21,21,"")</f>
        <v>21</v>
      </c>
      <c r="B63" s="5">
        <f t="shared" si="4"/>
        <v>1800000</v>
      </c>
      <c r="C63" s="15">
        <f t="shared" si="0"/>
        <v>0</v>
      </c>
      <c r="D63" s="15">
        <f t="shared" si="1"/>
        <v>600000</v>
      </c>
      <c r="E63" s="1">
        <f>IF(Berechnung!E290=0,"",Berechnung!E290)</f>
        <v>400593.419863331</v>
      </c>
      <c r="F63" s="5">
        <f t="shared" si="5"/>
        <v>-1000593.419863331</v>
      </c>
      <c r="G63" s="5">
        <f t="shared" si="2"/>
        <v>799406.580136669</v>
      </c>
      <c r="H63" s="5"/>
      <c r="I63" s="5">
        <f t="shared" si="3"/>
        <v>12145807.432568373</v>
      </c>
      <c r="K63" s="1"/>
    </row>
    <row r="64" spans="1:11" ht="12.75">
      <c r="A64" s="10">
        <f>IF($C$30+0.1&gt;22,22,"")</f>
        <v>22</v>
      </c>
      <c r="B64" s="5">
        <f t="shared" si="4"/>
        <v>1800000</v>
      </c>
      <c r="C64" s="15">
        <f t="shared" si="0"/>
        <v>0</v>
      </c>
      <c r="D64" s="15">
        <f t="shared" si="1"/>
        <v>600000</v>
      </c>
      <c r="E64" s="1">
        <f>IF(Berechnung!E302=0,"",Berechnung!E302)</f>
        <v>368123.9198685492</v>
      </c>
      <c r="F64" s="5">
        <f t="shared" si="5"/>
        <v>-968123.9198685492</v>
      </c>
      <c r="G64" s="5">
        <f t="shared" si="2"/>
        <v>831876.0801314508</v>
      </c>
      <c r="H64" s="5"/>
      <c r="I64" s="5">
        <f t="shared" si="3"/>
        <v>12977683.512699824</v>
      </c>
      <c r="K64" s="1"/>
    </row>
    <row r="65" spans="1:11" ht="12.75">
      <c r="A65" s="10">
        <f>IF($C$30+0.1&gt;23,23,"")</f>
        <v>23</v>
      </c>
      <c r="B65" s="5">
        <f t="shared" si="4"/>
        <v>1800000</v>
      </c>
      <c r="C65" s="15">
        <f t="shared" si="0"/>
        <v>0</v>
      </c>
      <c r="D65" s="15">
        <f t="shared" si="1"/>
        <v>600000</v>
      </c>
      <c r="E65" s="1">
        <f>IF(Berechnung!E314=0,"",Berechnung!E314)</f>
        <v>333737.4260722777</v>
      </c>
      <c r="F65" s="5">
        <f t="shared" si="5"/>
        <v>-933737.4260722777</v>
      </c>
      <c r="G65" s="5">
        <f t="shared" si="2"/>
        <v>866262.5739277223</v>
      </c>
      <c r="H65" s="5"/>
      <c r="I65" s="5">
        <f t="shared" si="3"/>
        <v>13843946.086627547</v>
      </c>
      <c r="K65" s="1"/>
    </row>
    <row r="66" spans="1:11" ht="12.75">
      <c r="A66" s="10">
        <f>IF($C$30+0.1&gt;24,24,"")</f>
        <v>24</v>
      </c>
      <c r="B66" s="5">
        <f t="shared" si="4"/>
        <v>1800000</v>
      </c>
      <c r="C66" s="15">
        <f t="shared" si="0"/>
        <v>0</v>
      </c>
      <c r="D66" s="15">
        <f t="shared" si="1"/>
        <v>600000</v>
      </c>
      <c r="E66" s="1">
        <f>IF(Berechnung!E326=0,"",Berechnung!E326)</f>
        <v>297320.7594839086</v>
      </c>
      <c r="F66" s="5">
        <f t="shared" si="5"/>
        <v>-897320.7594839085</v>
      </c>
      <c r="G66" s="5">
        <f t="shared" si="2"/>
        <v>902679.2405160915</v>
      </c>
      <c r="H66" s="5"/>
      <c r="I66" s="5">
        <f t="shared" si="3"/>
        <v>14746625.327143637</v>
      </c>
      <c r="K66" s="1"/>
    </row>
    <row r="67" spans="1:11" ht="12.75">
      <c r="A67" s="10">
        <f>IF($C$30+0.1&gt;25,25,"")</f>
        <v>25</v>
      </c>
      <c r="B67" s="5">
        <f t="shared" si="4"/>
        <v>1800000</v>
      </c>
      <c r="C67" s="15">
        <f t="shared" si="0"/>
        <v>0</v>
      </c>
      <c r="D67" s="15">
        <f t="shared" si="1"/>
        <v>600000</v>
      </c>
      <c r="E67" s="1">
        <f>IF(Berechnung!E338=0,"",Berechnung!E338)</f>
        <v>258754.05904432407</v>
      </c>
      <c r="F67" s="5">
        <f t="shared" si="5"/>
        <v>-858754.0590443241</v>
      </c>
      <c r="G67" s="5">
        <f t="shared" si="2"/>
        <v>941245.9409556759</v>
      </c>
      <c r="H67" s="5"/>
      <c r="I67" s="5">
        <f t="shared" si="3"/>
        <v>15687871.268099314</v>
      </c>
      <c r="K67" s="1"/>
    </row>
    <row r="68" spans="1:11" ht="12.75">
      <c r="A68" s="10">
        <f>IF($C$30+0.1&gt;26,26,"")</f>
        <v>26</v>
      </c>
      <c r="B68" s="5">
        <f t="shared" si="4"/>
        <v>1800000</v>
      </c>
      <c r="C68" s="15">
        <f t="shared" si="0"/>
        <v>0</v>
      </c>
      <c r="D68" s="15">
        <f t="shared" si="1"/>
        <v>600000</v>
      </c>
      <c r="E68" s="1">
        <f>IF(Berechnung!E350=0,"",Berechnung!E350)</f>
        <v>217910.38711769853</v>
      </c>
      <c r="F68" s="5">
        <f t="shared" si="5"/>
        <v>-817910.3871176986</v>
      </c>
      <c r="G68" s="5">
        <f t="shared" si="2"/>
        <v>982089.6128823014</v>
      </c>
      <c r="H68" s="5"/>
      <c r="I68" s="5">
        <f t="shared" si="3"/>
        <v>16669960.880981615</v>
      </c>
      <c r="K68" s="1"/>
    </row>
    <row r="69" spans="1:11" ht="12.75">
      <c r="A69" s="10">
        <f>IF($C$30+0.1&gt;27,27,"")</f>
        <v>27</v>
      </c>
      <c r="B69" s="5">
        <f t="shared" si="4"/>
        <v>1800000</v>
      </c>
      <c r="C69" s="15">
        <f t="shared" si="0"/>
        <v>0</v>
      </c>
      <c r="D69" s="15">
        <f t="shared" si="1"/>
        <v>600000</v>
      </c>
      <c r="E69" s="1">
        <f>IF(Berechnung!E362=0,"",Berechnung!E362)</f>
        <v>174655.31169160418</v>
      </c>
      <c r="F69" s="5">
        <f t="shared" si="5"/>
        <v>-774655.3116916042</v>
      </c>
      <c r="G69" s="5">
        <f t="shared" si="2"/>
        <v>1025344.6883083958</v>
      </c>
      <c r="H69" s="5"/>
      <c r="I69" s="5">
        <f t="shared" si="3"/>
        <v>17695305.569290012</v>
      </c>
      <c r="K69" s="1"/>
    </row>
    <row r="70" spans="1:11" ht="12.75">
      <c r="A70" s="10">
        <f>IF($C$30+0.1&gt;28,28,"")</f>
        <v>28</v>
      </c>
      <c r="B70" s="5">
        <f t="shared" si="4"/>
        <v>1800000</v>
      </c>
      <c r="C70" s="15">
        <f t="shared" si="0"/>
        <v>0</v>
      </c>
      <c r="D70" s="15">
        <f t="shared" si="1"/>
        <v>600000</v>
      </c>
      <c r="E70" s="1">
        <f>IF(Berechnung!E374=0,"",Berechnung!E374)</f>
        <v>128846.46391028046</v>
      </c>
      <c r="F70" s="5">
        <f t="shared" si="5"/>
        <v>-728846.4639102805</v>
      </c>
      <c r="G70" s="5">
        <f t="shared" si="2"/>
        <v>1071153.5360897195</v>
      </c>
      <c r="H70" s="5"/>
      <c r="I70" s="5">
        <f t="shared" si="3"/>
        <v>18766459.10537973</v>
      </c>
      <c r="K70" s="1"/>
    </row>
    <row r="71" spans="1:11" ht="12.75">
      <c r="A71" s="10">
        <f>IF($C$30+0.1&gt;29,29,"")</f>
        <v>29</v>
      </c>
      <c r="B71" s="5">
        <f t="shared" si="4"/>
        <v>1800000</v>
      </c>
      <c r="C71" s="15">
        <f t="shared" si="0"/>
        <v>0</v>
      </c>
      <c r="D71" s="15">
        <f t="shared" si="1"/>
        <v>600000</v>
      </c>
      <c r="E71" s="1">
        <f>IF(Berechnung!E386=0,"",Berechnung!E386)</f>
        <v>80333.06948474303</v>
      </c>
      <c r="F71" s="5">
        <f t="shared" si="5"/>
        <v>-680333.069484743</v>
      </c>
      <c r="G71" s="5">
        <f t="shared" si="2"/>
        <v>1119666.930515257</v>
      </c>
      <c r="H71" s="5"/>
      <c r="I71" s="5">
        <f t="shared" si="3"/>
        <v>19886126.035894986</v>
      </c>
      <c r="K71" s="1"/>
    </row>
    <row r="72" spans="1:11" ht="12.75">
      <c r="A72" s="10">
        <f>IF($C$30+0.1&gt;30,30,"")</f>
        <v>30</v>
      </c>
      <c r="B72" s="5">
        <f t="shared" si="4"/>
        <v>1800000</v>
      </c>
      <c r="C72" s="15">
        <f t="shared" si="0"/>
        <v>0</v>
      </c>
      <c r="D72" s="15">
        <f t="shared" si="1"/>
        <v>600000</v>
      </c>
      <c r="E72" s="1">
        <f>IF(Berechnung!E398=0,"",Berechnung!E398)</f>
        <v>28955.452437424305</v>
      </c>
      <c r="F72" s="5">
        <f t="shared" si="5"/>
        <v>-628955.4524374243</v>
      </c>
      <c r="G72" s="5">
        <f t="shared" si="2"/>
        <v>1171044.5475625757</v>
      </c>
      <c r="H72" s="5"/>
      <c r="I72" s="5">
        <f t="shared" si="3"/>
        <v>21057170.583457563</v>
      </c>
      <c r="K72" s="1"/>
    </row>
    <row r="73" spans="2:6" ht="12.75">
      <c r="B73" s="5">
        <f t="shared" si="4"/>
      </c>
      <c r="C73"/>
      <c r="D73" s="3"/>
      <c r="F73" s="5">
        <f t="shared" si="5"/>
      </c>
    </row>
    <row r="74" spans="2:6" ht="12.75">
      <c r="B74" s="5">
        <f t="shared" si="4"/>
      </c>
      <c r="C74" s="20"/>
      <c r="D74" s="3"/>
      <c r="E74" s="5"/>
      <c r="F74" s="5">
        <f t="shared" si="5"/>
      </c>
    </row>
    <row r="75" spans="2:6" ht="12.75">
      <c r="B75" s="5">
        <f t="shared" si="4"/>
      </c>
      <c r="E75" s="1"/>
      <c r="F75" s="5">
        <f t="shared" si="5"/>
      </c>
    </row>
    <row r="76" spans="2:5" ht="12.75">
      <c r="B76" s="5">
        <f t="shared" si="4"/>
      </c>
      <c r="E76" s="1"/>
    </row>
    <row r="77" spans="2:5" ht="12.75">
      <c r="B77" s="5">
        <f t="shared" si="4"/>
      </c>
      <c r="E77" s="1"/>
    </row>
    <row r="78" spans="2:10" ht="12.75">
      <c r="B78" s="5">
        <f t="shared" si="4"/>
      </c>
      <c r="J78" s="1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4.7109375" style="0" customWidth="1"/>
    <col min="2" max="2" width="19.7109375" style="0" bestFit="1" customWidth="1"/>
    <col min="3" max="3" width="25.28125" style="0" bestFit="1" customWidth="1"/>
    <col min="4" max="4" width="17.421875" style="0" bestFit="1" customWidth="1"/>
    <col min="5" max="5" width="15.140625" style="0" customWidth="1"/>
  </cols>
  <sheetData>
    <row r="1" spans="1:6" ht="15.75">
      <c r="A1" s="46" t="s">
        <v>32</v>
      </c>
      <c r="B1" s="43"/>
      <c r="C1" s="43"/>
      <c r="D1" s="43"/>
      <c r="E1" s="43"/>
      <c r="F1" s="45"/>
    </row>
    <row r="3" spans="1:5" ht="12.75">
      <c r="A3" s="9" t="s">
        <v>4</v>
      </c>
      <c r="D3" s="1"/>
      <c r="E3" s="16"/>
    </row>
    <row r="4" spans="2:5" ht="12.75">
      <c r="B4" t="s">
        <v>5</v>
      </c>
      <c r="D4" s="1">
        <f>Blatt!D12</f>
        <v>12750000</v>
      </c>
      <c r="E4" s="16"/>
    </row>
    <row r="5" spans="2:5" ht="12.75">
      <c r="B5" t="s">
        <v>6</v>
      </c>
      <c r="C5" s="31">
        <v>0.035</v>
      </c>
      <c r="D5" s="1">
        <f>D4*C5</f>
        <v>446250.00000000006</v>
      </c>
      <c r="E5" s="16"/>
    </row>
    <row r="6" spans="2:5" ht="12.75">
      <c r="B6" t="s">
        <v>7</v>
      </c>
      <c r="C6" s="31">
        <v>0.01</v>
      </c>
      <c r="D6" s="1">
        <f>D4*C6</f>
        <v>127500</v>
      </c>
      <c r="E6" s="16"/>
    </row>
    <row r="7" spans="2:5" ht="12.75">
      <c r="B7" t="s">
        <v>8</v>
      </c>
      <c r="C7" s="39">
        <f>Blatt!C15</f>
        <v>0</v>
      </c>
      <c r="D7" s="1">
        <f>IF(C7=0,0,D4*0.036)</f>
        <v>0</v>
      </c>
      <c r="E7" s="16"/>
    </row>
    <row r="8" spans="2:5" ht="12.75">
      <c r="B8" t="s">
        <v>9</v>
      </c>
      <c r="C8" s="1"/>
      <c r="D8" s="1">
        <f>Blatt!D16</f>
        <v>250000</v>
      </c>
      <c r="E8" s="16"/>
    </row>
    <row r="9" spans="2:5" ht="12.75">
      <c r="B9" t="s">
        <v>10</v>
      </c>
      <c r="C9" s="1"/>
      <c r="D9" s="1">
        <f>Blatt!D17</f>
        <v>0</v>
      </c>
      <c r="E9" s="16"/>
    </row>
    <row r="10" spans="2:5" ht="12.75">
      <c r="B10" t="s">
        <v>11</v>
      </c>
      <c r="C10" s="1"/>
      <c r="D10" s="1">
        <f>Blatt!D18</f>
        <v>0</v>
      </c>
      <c r="E10" s="16"/>
    </row>
    <row r="11" spans="2:5" ht="12.75">
      <c r="B11" t="s">
        <v>12</v>
      </c>
      <c r="C11" s="1"/>
      <c r="D11" s="1">
        <f>Blatt!D19</f>
        <v>0</v>
      </c>
      <c r="E11" s="16"/>
    </row>
    <row r="12" spans="2:5" ht="12.75">
      <c r="B12" s="5"/>
      <c r="C12" s="40" t="s">
        <v>4</v>
      </c>
      <c r="D12" s="41">
        <f>SUM(D4:D9)-D10-D11</f>
        <v>13573750</v>
      </c>
      <c r="E12" s="16"/>
    </row>
    <row r="13" spans="2:5" ht="12.75">
      <c r="B13" s="5"/>
      <c r="C13" s="42" t="s">
        <v>33</v>
      </c>
      <c r="D13" s="39" t="s">
        <v>33</v>
      </c>
      <c r="E13" s="16" t="s">
        <v>33</v>
      </c>
    </row>
    <row r="14" spans="2:5" ht="12.75">
      <c r="B14" s="5"/>
      <c r="C14" s="30"/>
      <c r="D14" s="27"/>
      <c r="E14" s="16"/>
    </row>
    <row r="15" spans="4:5" ht="12.75">
      <c r="D15" s="1"/>
      <c r="E15" s="16"/>
    </row>
    <row r="16" spans="1:4" ht="12.75">
      <c r="A16" s="9" t="s">
        <v>14</v>
      </c>
      <c r="D16" s="16">
        <f>Blatt!D8*12</f>
        <v>1800000</v>
      </c>
    </row>
    <row r="19" ht="12.75">
      <c r="A19" s="9" t="s">
        <v>34</v>
      </c>
    </row>
    <row r="20" ht="12.75">
      <c r="D20" s="47">
        <f>D16/D12</f>
        <v>0.13260889584676305</v>
      </c>
    </row>
    <row r="21" spans="1:4" ht="12.75">
      <c r="A21" t="s">
        <v>48</v>
      </c>
      <c r="D21" s="44">
        <v>0.5</v>
      </c>
    </row>
    <row r="24" spans="1:3" ht="12.75">
      <c r="A24" s="11" t="s">
        <v>26</v>
      </c>
      <c r="B24" s="9" t="s">
        <v>30</v>
      </c>
      <c r="C24" t="s">
        <v>35</v>
      </c>
    </row>
    <row r="25" ht="12.75">
      <c r="A25" s="10"/>
    </row>
    <row r="26" spans="1:3" ht="12.75">
      <c r="A26" s="10">
        <v>1</v>
      </c>
      <c r="B26" s="1">
        <f>Blatt!G43</f>
        <v>424063.5805934435</v>
      </c>
      <c r="C26" s="1">
        <f>IF(B26="","",$B26*$D$21)</f>
        <v>212031.79029672174</v>
      </c>
    </row>
    <row r="27" spans="1:3" ht="12.75">
      <c r="A27" s="10">
        <f aca="true" t="shared" si="0" ref="A27:A55">$A26+1</f>
        <v>2</v>
      </c>
      <c r="B27" s="1">
        <f>Blatt!G44</f>
        <v>434372.89322246495</v>
      </c>
      <c r="C27" s="1">
        <f aca="true" t="shared" si="1" ref="C27:C42">IF(B27="","",$B27*$D$21)</f>
        <v>217186.44661123247</v>
      </c>
    </row>
    <row r="28" spans="1:3" ht="12.75">
      <c r="A28" s="10">
        <f t="shared" si="0"/>
        <v>3</v>
      </c>
      <c r="B28" s="1">
        <f>Blatt!G45</f>
        <v>445290.86592973303</v>
      </c>
      <c r="C28" s="1">
        <f t="shared" si="1"/>
        <v>222645.43296486652</v>
      </c>
    </row>
    <row r="29" spans="1:3" ht="12.75">
      <c r="A29" s="10">
        <f t="shared" si="0"/>
        <v>4</v>
      </c>
      <c r="B29" s="1">
        <f>Blatt!G46</f>
        <v>456853.43390357494</v>
      </c>
      <c r="C29" s="1">
        <f t="shared" si="1"/>
        <v>228426.71695178747</v>
      </c>
    </row>
    <row r="30" spans="1:3" ht="12.75">
      <c r="A30" s="10">
        <f t="shared" si="0"/>
        <v>5</v>
      </c>
      <c r="B30" s="1">
        <f>Blatt!G47</f>
        <v>469098.6539397747</v>
      </c>
      <c r="C30" s="1">
        <f t="shared" si="1"/>
        <v>234549.32696988736</v>
      </c>
    </row>
    <row r="31" spans="1:3" ht="12.75">
      <c r="A31" s="10">
        <f t="shared" si="0"/>
        <v>6</v>
      </c>
      <c r="B31" s="1">
        <f>Blatt!G48</f>
        <v>482066.82970091794</v>
      </c>
      <c r="C31" s="1">
        <f t="shared" si="1"/>
        <v>241033.41485045897</v>
      </c>
    </row>
    <row r="32" spans="1:3" ht="12.75">
      <c r="A32" s="10">
        <f t="shared" si="0"/>
        <v>7</v>
      </c>
      <c r="B32" s="1">
        <f>Blatt!G49</f>
        <v>495800.64437102876</v>
      </c>
      <c r="C32" s="1">
        <f t="shared" si="1"/>
        <v>247900.32218551438</v>
      </c>
    </row>
    <row r="33" spans="1:3" ht="12.75">
      <c r="A33" s="10">
        <f t="shared" si="0"/>
        <v>8</v>
      </c>
      <c r="B33" s="1">
        <f>Blatt!G50</f>
        <v>510345.3011421161</v>
      </c>
      <c r="C33" s="1">
        <f t="shared" si="1"/>
        <v>255172.65057105804</v>
      </c>
    </row>
    <row r="34" spans="1:3" ht="12.75">
      <c r="A34" s="10">
        <f t="shared" si="0"/>
        <v>9</v>
      </c>
      <c r="B34" s="1">
        <f>Blatt!G51</f>
        <v>525748.6719950167</v>
      </c>
      <c r="C34" s="1">
        <f t="shared" si="1"/>
        <v>262874.3359975084</v>
      </c>
    </row>
    <row r="35" spans="1:3" ht="12.75">
      <c r="A35" s="10">
        <f t="shared" si="0"/>
        <v>10</v>
      </c>
      <c r="B35" s="1">
        <f>Blatt!G52</f>
        <v>542061.4552642405</v>
      </c>
      <c r="C35" s="1">
        <f t="shared" si="1"/>
        <v>271030.72763212025</v>
      </c>
    </row>
    <row r="36" spans="1:4" ht="12.75">
      <c r="A36" s="10">
        <f t="shared" si="0"/>
        <v>11</v>
      </c>
      <c r="B36" s="1">
        <f>Blatt!G53</f>
        <v>559337.3425054129</v>
      </c>
      <c r="C36" s="1">
        <f t="shared" si="1"/>
        <v>279668.67125270644</v>
      </c>
      <c r="D36" s="5">
        <f>SUM(C26:C36)</f>
        <v>2672519.836283862</v>
      </c>
    </row>
    <row r="37" spans="1:3" ht="12.75">
      <c r="A37" s="10">
        <f t="shared" si="0"/>
        <v>12</v>
      </c>
      <c r="B37" s="1">
        <f>Blatt!G54</f>
        <v>577633.1952145437</v>
      </c>
      <c r="C37" s="1">
        <f t="shared" si="1"/>
        <v>288816.59760727186</v>
      </c>
    </row>
    <row r="38" spans="1:3" ht="12.75">
      <c r="A38" s="10">
        <f t="shared" si="0"/>
        <v>13</v>
      </c>
      <c r="B38" s="1">
        <f>Blatt!G55</f>
        <v>597009.2319807746</v>
      </c>
      <c r="C38" s="1">
        <f t="shared" si="1"/>
        <v>298504.6159903873</v>
      </c>
    </row>
    <row r="39" spans="1:3" ht="12.75">
      <c r="A39" s="10">
        <f t="shared" si="0"/>
        <v>14</v>
      </c>
      <c r="B39" s="1">
        <f>Blatt!G56</f>
        <v>617529.2266885899</v>
      </c>
      <c r="C39" s="1">
        <f t="shared" si="1"/>
        <v>308764.61334429495</v>
      </c>
    </row>
    <row r="40" spans="1:3" ht="12.75">
      <c r="A40" s="10">
        <f t="shared" si="0"/>
        <v>15</v>
      </c>
      <c r="B40" s="1">
        <f>Blatt!G57</f>
        <v>639260.7184218536</v>
      </c>
      <c r="C40" s="1">
        <f t="shared" si="1"/>
        <v>319630.3592109268</v>
      </c>
    </row>
    <row r="41" spans="1:3" ht="12.75">
      <c r="A41" s="10">
        <f t="shared" si="0"/>
        <v>16</v>
      </c>
      <c r="B41" s="1">
        <f>Blatt!G58</f>
        <v>662275.2337605469</v>
      </c>
      <c r="C41" s="1">
        <f t="shared" si="1"/>
        <v>331137.61688027345</v>
      </c>
    </row>
    <row r="42" spans="1:3" ht="12.75">
      <c r="A42" s="10">
        <f t="shared" si="0"/>
        <v>17</v>
      </c>
      <c r="B42" s="1">
        <f>Blatt!G59</f>
        <v>686648.522201864</v>
      </c>
      <c r="C42" s="1">
        <f t="shared" si="1"/>
        <v>343324.261100932</v>
      </c>
    </row>
    <row r="43" spans="1:3" ht="12.75">
      <c r="A43" s="10">
        <f t="shared" si="0"/>
        <v>18</v>
      </c>
      <c r="B43" s="1">
        <f>Blatt!G60</f>
        <v>712460.8054805347</v>
      </c>
      <c r="C43" s="1">
        <f aca="true" t="shared" si="2" ref="C43:C55">IF(B43="","",$B43*$D$21)</f>
        <v>356230.40274026734</v>
      </c>
    </row>
    <row r="44" spans="1:3" ht="12.75">
      <c r="A44" s="10">
        <f t="shared" si="0"/>
        <v>19</v>
      </c>
      <c r="B44" s="1">
        <f>Blatt!G61</f>
        <v>739797.0416089704</v>
      </c>
      <c r="C44" s="1">
        <f t="shared" si="2"/>
        <v>369898.5208044852</v>
      </c>
    </row>
    <row r="45" spans="1:3" ht="12.75">
      <c r="A45" s="10">
        <f t="shared" si="0"/>
        <v>20</v>
      </c>
      <c r="B45" s="1">
        <f>Blatt!G62</f>
        <v>768747.2045063031</v>
      </c>
      <c r="C45" s="1">
        <f t="shared" si="2"/>
        <v>384373.60225315153</v>
      </c>
    </row>
    <row r="46" spans="1:3" ht="12.75">
      <c r="A46" s="10">
        <f t="shared" si="0"/>
        <v>21</v>
      </c>
      <c r="B46" s="1">
        <f>Blatt!G63</f>
        <v>799406.580136669</v>
      </c>
      <c r="C46" s="1">
        <f t="shared" si="2"/>
        <v>399703.2900683345</v>
      </c>
    </row>
    <row r="47" spans="1:3" ht="12.75">
      <c r="A47" s="10">
        <f t="shared" si="0"/>
        <v>22</v>
      </c>
      <c r="B47" s="1">
        <f>Blatt!G64</f>
        <v>831876.0801314508</v>
      </c>
      <c r="C47" s="1">
        <f t="shared" si="2"/>
        <v>415938.0400657254</v>
      </c>
    </row>
    <row r="48" spans="1:3" ht="12.75">
      <c r="A48" s="10">
        <f t="shared" si="0"/>
        <v>23</v>
      </c>
      <c r="B48" s="1">
        <f>Blatt!G65</f>
        <v>866262.5739277223</v>
      </c>
      <c r="C48" s="1">
        <f t="shared" si="2"/>
        <v>433131.28696386114</v>
      </c>
    </row>
    <row r="49" spans="1:3" ht="12.75">
      <c r="A49" s="10">
        <f t="shared" si="0"/>
        <v>24</v>
      </c>
      <c r="B49" s="1">
        <f>Blatt!G66</f>
        <v>902679.2405160915</v>
      </c>
      <c r="C49" s="1">
        <f t="shared" si="2"/>
        <v>451339.62025804573</v>
      </c>
    </row>
    <row r="50" spans="1:3" ht="12.75">
      <c r="A50" s="10">
        <f t="shared" si="0"/>
        <v>25</v>
      </c>
      <c r="B50" s="1">
        <f>Blatt!G67</f>
        <v>941245.9409556759</v>
      </c>
      <c r="C50" s="1">
        <f t="shared" si="2"/>
        <v>470622.97047783795</v>
      </c>
    </row>
    <row r="51" spans="1:3" ht="12.75">
      <c r="A51" s="10">
        <f t="shared" si="0"/>
        <v>26</v>
      </c>
      <c r="B51" s="1">
        <f>Blatt!G68</f>
        <v>982089.6128823014</v>
      </c>
      <c r="C51" s="1">
        <f t="shared" si="2"/>
        <v>491044.8064411507</v>
      </c>
    </row>
    <row r="52" spans="1:3" ht="12.75">
      <c r="A52" s="10">
        <f t="shared" si="0"/>
        <v>27</v>
      </c>
      <c r="B52" s="1">
        <f>Blatt!G69</f>
        <v>1025344.6883083958</v>
      </c>
      <c r="C52" s="1">
        <f t="shared" si="2"/>
        <v>512672.3441541979</v>
      </c>
    </row>
    <row r="53" spans="1:3" ht="12.75">
      <c r="A53" s="10">
        <f t="shared" si="0"/>
        <v>28</v>
      </c>
      <c r="B53" s="1">
        <f>Blatt!G70</f>
        <v>1071153.5360897195</v>
      </c>
      <c r="C53" s="1">
        <f t="shared" si="2"/>
        <v>535576.7680448598</v>
      </c>
    </row>
    <row r="54" spans="1:3" ht="12.75">
      <c r="A54" s="10">
        <f t="shared" si="0"/>
        <v>29</v>
      </c>
      <c r="B54" s="1">
        <f>Blatt!G71</f>
        <v>1119666.930515257</v>
      </c>
      <c r="C54" s="1">
        <f t="shared" si="2"/>
        <v>559833.4652576285</v>
      </c>
    </row>
    <row r="55" spans="1:3" ht="12.75">
      <c r="A55" s="10">
        <f t="shared" si="0"/>
        <v>30</v>
      </c>
      <c r="B55" s="1">
        <f>Blatt!G72</f>
        <v>1171044.5475625757</v>
      </c>
      <c r="C55" s="1">
        <f t="shared" si="2"/>
        <v>585522.2737812878</v>
      </c>
    </row>
    <row r="56" spans="1:3" ht="12.75">
      <c r="A56" s="11" t="s">
        <v>36</v>
      </c>
      <c r="B56" s="5">
        <f>SUM(B26:B55)</f>
        <v>21057170.583457563</v>
      </c>
      <c r="C56" s="5">
        <f>SUM(C26:C55)</f>
        <v>10528585.291728782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3"/>
  <sheetViews>
    <sheetView zoomScalePageLayoutView="0" workbookViewId="0" topLeftCell="A24">
      <selection activeCell="A39" sqref="A39"/>
    </sheetView>
  </sheetViews>
  <sheetFormatPr defaultColWidth="11.421875" defaultRowHeight="12.75"/>
  <cols>
    <col min="1" max="1" width="4.421875" style="0" customWidth="1"/>
    <col min="2" max="2" width="16.421875" style="0" customWidth="1"/>
    <col min="3" max="3" width="23.28125" style="0" customWidth="1"/>
    <col min="4" max="4" width="17.421875" style="1" bestFit="1" customWidth="1"/>
    <col min="5" max="5" width="16.28125" style="16" customWidth="1"/>
    <col min="6" max="6" width="13.57421875" style="0" bestFit="1" customWidth="1"/>
  </cols>
  <sheetData>
    <row r="1" ht="12.75">
      <c r="A1" t="s">
        <v>0</v>
      </c>
    </row>
    <row r="3" ht="12.75">
      <c r="A3" t="s">
        <v>37</v>
      </c>
    </row>
    <row r="4" spans="2:4" ht="12.75">
      <c r="B4" t="s">
        <v>38</v>
      </c>
      <c r="D4" s="1">
        <f>Blatt!D8</f>
        <v>150000</v>
      </c>
    </row>
    <row r="5" spans="2:4" ht="12.75">
      <c r="B5" t="s">
        <v>39</v>
      </c>
      <c r="D5" s="1">
        <f>D4/1</f>
        <v>150000</v>
      </c>
    </row>
    <row r="6" spans="2:4" ht="12.75">
      <c r="B6" t="s">
        <v>40</v>
      </c>
      <c r="D6" s="1">
        <f>Blatt!E26/12</f>
        <v>50000</v>
      </c>
    </row>
    <row r="7" spans="3:4" ht="12.75">
      <c r="C7" s="9" t="s">
        <v>41</v>
      </c>
      <c r="D7" s="1">
        <f>D5-D6</f>
        <v>100000</v>
      </c>
    </row>
    <row r="8" spans="2:5" ht="12.75">
      <c r="B8" t="s">
        <v>3</v>
      </c>
      <c r="D8" s="1">
        <f>D7*12</f>
        <v>1200000</v>
      </c>
      <c r="E8" s="17"/>
    </row>
    <row r="11" ht="12.75">
      <c r="A11" t="s">
        <v>4</v>
      </c>
    </row>
    <row r="12" spans="2:4" ht="12.75">
      <c r="B12" t="s">
        <v>5</v>
      </c>
      <c r="D12" s="1">
        <f>Blatt!D12</f>
        <v>12750000</v>
      </c>
    </row>
    <row r="13" spans="2:4" ht="12.75">
      <c r="B13" t="s">
        <v>6</v>
      </c>
      <c r="C13" s="55">
        <v>0.035</v>
      </c>
      <c r="D13" s="1">
        <f>D12*C13</f>
        <v>446250.00000000006</v>
      </c>
    </row>
    <row r="14" spans="2:4" ht="12.75">
      <c r="B14" t="s">
        <v>7</v>
      </c>
      <c r="C14" s="55">
        <v>0.01</v>
      </c>
      <c r="D14" s="1">
        <f>D12*C14</f>
        <v>127500</v>
      </c>
    </row>
    <row r="15" spans="2:5" ht="12.75">
      <c r="B15" t="s">
        <v>9</v>
      </c>
      <c r="D15" s="1">
        <f>Blatt!D16</f>
        <v>250000</v>
      </c>
      <c r="E15" s="16">
        <f>SUM(D12:D15)</f>
        <v>13573750</v>
      </c>
    </row>
    <row r="16" spans="2:4" ht="12.75">
      <c r="B16" t="s">
        <v>42</v>
      </c>
      <c r="D16" s="1">
        <f>Blatt!D19</f>
        <v>0</v>
      </c>
    </row>
    <row r="17" spans="2:4" ht="13.5" thickBot="1">
      <c r="B17" s="5"/>
      <c r="C17" s="11" t="s">
        <v>4</v>
      </c>
      <c r="D17" s="4">
        <f>SUM(D12:D15)-D16</f>
        <v>13573750</v>
      </c>
    </row>
    <row r="18" ht="13.5" thickTop="1"/>
    <row r="19" spans="3:5" ht="12.75">
      <c r="C19" s="2"/>
      <c r="E19" s="17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5" ht="12.75">
      <c r="A25" t="s">
        <v>19</v>
      </c>
    </row>
    <row r="27" spans="2:4" ht="12.75">
      <c r="B27" t="s">
        <v>43</v>
      </c>
      <c r="C27" s="1">
        <f>Blatt!C30</f>
        <v>30</v>
      </c>
      <c r="D27" s="1">
        <f>C27*12</f>
        <v>360</v>
      </c>
    </row>
    <row r="28" spans="2:4" ht="12.75">
      <c r="B28" t="s">
        <v>21</v>
      </c>
      <c r="C28" s="14">
        <f>D7</f>
        <v>100000</v>
      </c>
      <c r="D28" s="1">
        <f>C28*12</f>
        <v>1200000</v>
      </c>
    </row>
    <row r="29" spans="2:4" ht="12.75">
      <c r="B29" t="s">
        <v>23</v>
      </c>
      <c r="C29" s="14">
        <f>Blatt!C32</f>
        <v>0</v>
      </c>
      <c r="D29" s="1">
        <f>Blatt!D32</f>
        <v>0</v>
      </c>
    </row>
    <row r="30" spans="2:4" ht="12.75">
      <c r="B30" t="s">
        <v>22</v>
      </c>
      <c r="C30" s="55">
        <f>Blatt!C33</f>
        <v>0.0575</v>
      </c>
      <c r="D30" s="6">
        <f>C30/12</f>
        <v>0.004791666666666667</v>
      </c>
    </row>
    <row r="32" spans="2:4" ht="13.5" thickBot="1">
      <c r="B32" t="s">
        <v>24</v>
      </c>
      <c r="C32" s="12">
        <f>-PV(D30,D27,C28+C29,0)</f>
        <v>17135820.985476702</v>
      </c>
      <c r="D32" s="8"/>
    </row>
    <row r="33" ht="13.5" thickTop="1"/>
    <row r="34" spans="4:5" ht="12.75">
      <c r="D34" s="13"/>
      <c r="E34" s="19"/>
    </row>
    <row r="35" ht="12.75">
      <c r="A35" t="s">
        <v>44</v>
      </c>
    </row>
    <row r="37" spans="1:4" ht="12.75">
      <c r="A37" s="9" t="s">
        <v>45</v>
      </c>
      <c r="B37" s="11" t="s">
        <v>27</v>
      </c>
      <c r="C37" s="11" t="s">
        <v>46</v>
      </c>
      <c r="D37" s="15" t="s">
        <v>47</v>
      </c>
    </row>
    <row r="38" spans="1:2" ht="12.75">
      <c r="A38" s="9"/>
      <c r="B38" s="11"/>
    </row>
    <row r="39" spans="1:4" ht="12.75">
      <c r="A39" s="10">
        <v>1</v>
      </c>
      <c r="B39" s="7">
        <f>IF($D$27+0.5&gt;$A39,-IPMT($D$30,$A39,$D$27,$D$17,0,0),0)</f>
        <v>65040.88541666667</v>
      </c>
      <c r="C39" s="7">
        <f>IF($D$27+0.5&gt;$A39,-PPMT($D$30,$A39,$D$27,$D$17,0,0),0)</f>
        <v>14171.835184840096</v>
      </c>
      <c r="D39" s="7">
        <f>SUM(B39:C39)</f>
        <v>79212.72060150676</v>
      </c>
    </row>
    <row r="40" spans="1:4" ht="12.75">
      <c r="A40" s="10">
        <f>$A39+1</f>
        <v>2</v>
      </c>
      <c r="B40" s="7">
        <f aca="true" t="shared" si="0" ref="B40:B103">IF($D$27+0.5&gt;$A40,-IPMT($D$30,$A40,$D$27,$D$17,0,0),0)</f>
        <v>64972.978706405986</v>
      </c>
      <c r="C40" s="7">
        <f aca="true" t="shared" si="1" ref="C40:C103">IF($D$27+0.5&gt;$A40,-PPMT($D$30,$A40,$D$27,$D$17,0,0),0)</f>
        <v>14239.741895100784</v>
      </c>
      <c r="D40" s="7">
        <f>SUM(B40:C40)</f>
        <v>79212.72060150676</v>
      </c>
    </row>
    <row r="41" spans="1:4" ht="12.75">
      <c r="A41" s="10">
        <f aca="true" t="shared" si="2" ref="A41:A56">$A40+1</f>
        <v>3</v>
      </c>
      <c r="B41" s="7">
        <f t="shared" si="0"/>
        <v>64904.74660982529</v>
      </c>
      <c r="C41" s="7">
        <f t="shared" si="1"/>
        <v>14307.973991681476</v>
      </c>
      <c r="D41" s="7">
        <f aca="true" t="shared" si="3" ref="D41:D56">SUM(B41:C41)</f>
        <v>79212.72060150676</v>
      </c>
    </row>
    <row r="42" spans="1:4" ht="12.75">
      <c r="A42" s="10">
        <f t="shared" si="2"/>
        <v>4</v>
      </c>
      <c r="B42" s="7">
        <f t="shared" si="0"/>
        <v>64836.18756778182</v>
      </c>
      <c r="C42" s="7">
        <f t="shared" si="1"/>
        <v>14376.533033724954</v>
      </c>
      <c r="D42" s="7">
        <f t="shared" si="3"/>
        <v>79212.72060150676</v>
      </c>
    </row>
    <row r="43" spans="1:4" ht="12.75">
      <c r="A43" s="10">
        <f t="shared" si="2"/>
        <v>5</v>
      </c>
      <c r="B43" s="7">
        <f t="shared" si="0"/>
        <v>64767.30001366189</v>
      </c>
      <c r="C43" s="7">
        <f t="shared" si="1"/>
        <v>14445.420587844883</v>
      </c>
      <c r="D43" s="7">
        <f t="shared" si="3"/>
        <v>79212.72060150676</v>
      </c>
    </row>
    <row r="44" spans="1:4" ht="12.75">
      <c r="A44" s="10">
        <f t="shared" si="2"/>
        <v>6</v>
      </c>
      <c r="B44" s="7">
        <f t="shared" si="0"/>
        <v>64698.08237334513</v>
      </c>
      <c r="C44" s="7">
        <f t="shared" si="1"/>
        <v>14514.638228161639</v>
      </c>
      <c r="D44" s="7">
        <f t="shared" si="3"/>
        <v>79212.72060150676</v>
      </c>
    </row>
    <row r="45" spans="1:4" ht="12.75">
      <c r="A45" s="10">
        <f t="shared" si="2"/>
        <v>7</v>
      </c>
      <c r="B45" s="7">
        <f t="shared" si="0"/>
        <v>64628.533065168514</v>
      </c>
      <c r="C45" s="7">
        <f t="shared" si="1"/>
        <v>14584.18753633825</v>
      </c>
      <c r="D45" s="7">
        <f t="shared" si="3"/>
        <v>79212.72060150676</v>
      </c>
    </row>
    <row r="46" spans="1:4" ht="12.75">
      <c r="A46" s="10">
        <f t="shared" si="2"/>
        <v>8</v>
      </c>
      <c r="B46" s="7">
        <f t="shared" si="0"/>
        <v>64558.65049989024</v>
      </c>
      <c r="C46" s="7">
        <f t="shared" si="1"/>
        <v>14654.070101616535</v>
      </c>
      <c r="D46" s="7">
        <f t="shared" si="3"/>
        <v>79212.72060150678</v>
      </c>
    </row>
    <row r="47" spans="1:4" ht="12.75">
      <c r="A47" s="10">
        <f t="shared" si="2"/>
        <v>9</v>
      </c>
      <c r="B47" s="7">
        <f t="shared" si="0"/>
        <v>64488.433080653325</v>
      </c>
      <c r="C47" s="7">
        <f t="shared" si="1"/>
        <v>14724.28752085345</v>
      </c>
      <c r="D47" s="7">
        <f t="shared" si="3"/>
        <v>79212.72060150678</v>
      </c>
    </row>
    <row r="48" spans="1:4" ht="12.75">
      <c r="A48" s="10">
        <f t="shared" si="2"/>
        <v>10</v>
      </c>
      <c r="B48" s="7">
        <f t="shared" si="0"/>
        <v>64417.87920294923</v>
      </c>
      <c r="C48" s="7">
        <f t="shared" si="1"/>
        <v>14794.841398557539</v>
      </c>
      <c r="D48" s="7">
        <f t="shared" si="3"/>
        <v>79212.72060150676</v>
      </c>
    </row>
    <row r="49" spans="1:4" ht="12.75">
      <c r="A49" s="10">
        <f t="shared" si="2"/>
        <v>11</v>
      </c>
      <c r="B49" s="7">
        <f t="shared" si="0"/>
        <v>64346.987254581145</v>
      </c>
      <c r="C49" s="7">
        <f t="shared" si="1"/>
        <v>14865.733346925623</v>
      </c>
      <c r="D49" s="7">
        <f t="shared" si="3"/>
        <v>79212.72060150676</v>
      </c>
    </row>
    <row r="50" spans="1:6" ht="12.75">
      <c r="A50" s="10">
        <f t="shared" si="2"/>
        <v>12</v>
      </c>
      <c r="B50" s="7">
        <f t="shared" si="0"/>
        <v>64275.75561562713</v>
      </c>
      <c r="C50" s="7">
        <f t="shared" si="1"/>
        <v>14936.964985879644</v>
      </c>
      <c r="D50" s="7">
        <f t="shared" si="3"/>
        <v>79212.72060150678</v>
      </c>
      <c r="E50" s="16">
        <f>SUM(B39:B50)</f>
        <v>775936.4194065565</v>
      </c>
      <c r="F50" s="16">
        <f>SUM(C39:C50)</f>
        <v>174616.22781152485</v>
      </c>
    </row>
    <row r="51" spans="1:4" ht="12.75">
      <c r="A51" s="10">
        <f t="shared" si="2"/>
        <v>13</v>
      </c>
      <c r="B51" s="7">
        <f t="shared" si="0"/>
        <v>64204.18265840313</v>
      </c>
      <c r="C51" s="7">
        <f t="shared" si="1"/>
        <v>15008.537943103653</v>
      </c>
      <c r="D51" s="7">
        <f t="shared" si="3"/>
        <v>79212.72060150678</v>
      </c>
    </row>
    <row r="52" spans="1:4" ht="12.75">
      <c r="A52" s="10">
        <f t="shared" si="2"/>
        <v>14</v>
      </c>
      <c r="B52" s="7">
        <f t="shared" si="0"/>
        <v>64132.266747425754</v>
      </c>
      <c r="C52" s="7">
        <f t="shared" si="1"/>
        <v>15080.453854081024</v>
      </c>
      <c r="D52" s="7">
        <f t="shared" si="3"/>
        <v>79212.72060150678</v>
      </c>
    </row>
    <row r="53" spans="1:4" ht="12.75">
      <c r="A53" s="10">
        <f t="shared" si="2"/>
        <v>15</v>
      </c>
      <c r="B53" s="7">
        <f t="shared" si="0"/>
        <v>64060.00623937494</v>
      </c>
      <c r="C53" s="7">
        <f t="shared" si="1"/>
        <v>15152.714362131828</v>
      </c>
      <c r="D53" s="7">
        <f t="shared" si="3"/>
        <v>79212.72060150676</v>
      </c>
    </row>
    <row r="54" spans="1:4" ht="12.75">
      <c r="A54" s="10">
        <f t="shared" si="2"/>
        <v>16</v>
      </c>
      <c r="B54" s="7">
        <f t="shared" si="0"/>
        <v>63987.39948305639</v>
      </c>
      <c r="C54" s="7">
        <f t="shared" si="1"/>
        <v>15225.321118450376</v>
      </c>
      <c r="D54" s="7">
        <f t="shared" si="3"/>
        <v>79212.72060150676</v>
      </c>
    </row>
    <row r="55" spans="1:4" ht="12.75">
      <c r="A55" s="10">
        <f t="shared" si="2"/>
        <v>17</v>
      </c>
      <c r="B55" s="7">
        <f t="shared" si="0"/>
        <v>63914.444819363816</v>
      </c>
      <c r="C55" s="7">
        <f t="shared" si="1"/>
        <v>15298.275782142951</v>
      </c>
      <c r="D55" s="7">
        <f t="shared" si="3"/>
        <v>79212.72060150676</v>
      </c>
    </row>
    <row r="56" spans="1:4" ht="12.75">
      <c r="A56" s="10">
        <f t="shared" si="2"/>
        <v>18</v>
      </c>
      <c r="B56" s="7">
        <f t="shared" si="0"/>
        <v>63841.14058124105</v>
      </c>
      <c r="C56" s="7">
        <f t="shared" si="1"/>
        <v>15371.58002026572</v>
      </c>
      <c r="D56" s="7">
        <f t="shared" si="3"/>
        <v>79212.72060150676</v>
      </c>
    </row>
    <row r="57" spans="1:4" ht="12.75">
      <c r="A57" s="10">
        <f aca="true" t="shared" si="4" ref="A57:A72">$A56+1</f>
        <v>19</v>
      </c>
      <c r="B57" s="7">
        <f t="shared" si="0"/>
        <v>63767.48509364395</v>
      </c>
      <c r="C57" s="7">
        <f t="shared" si="1"/>
        <v>15445.235507862828</v>
      </c>
      <c r="D57" s="7">
        <f aca="true" t="shared" si="5" ref="D57:D72">SUM(B57:C57)</f>
        <v>79212.72060150678</v>
      </c>
    </row>
    <row r="58" spans="1:4" ht="12.75">
      <c r="A58" s="10">
        <f t="shared" si="4"/>
        <v>20</v>
      </c>
      <c r="B58" s="7">
        <f t="shared" si="0"/>
        <v>63693.4766735021</v>
      </c>
      <c r="C58" s="7">
        <f t="shared" si="1"/>
        <v>15519.243928004671</v>
      </c>
      <c r="D58" s="7">
        <f t="shared" si="5"/>
        <v>79212.72060150676</v>
      </c>
    </row>
    <row r="59" spans="1:4" ht="12.75">
      <c r="A59" s="10">
        <f t="shared" si="4"/>
        <v>21</v>
      </c>
      <c r="B59" s="7">
        <f t="shared" si="0"/>
        <v>63619.11362968042</v>
      </c>
      <c r="C59" s="7">
        <f t="shared" si="1"/>
        <v>15593.606971826357</v>
      </c>
      <c r="D59" s="7">
        <f t="shared" si="5"/>
        <v>79212.72060150678</v>
      </c>
    </row>
    <row r="60" spans="1:4" ht="12.75">
      <c r="A60" s="10">
        <f t="shared" si="4"/>
        <v>22</v>
      </c>
      <c r="B60" s="7">
        <f t="shared" si="0"/>
        <v>63544.394262940405</v>
      </c>
      <c r="C60" s="7">
        <f t="shared" si="1"/>
        <v>15668.32633856636</v>
      </c>
      <c r="D60" s="7">
        <f t="shared" si="5"/>
        <v>79212.72060150676</v>
      </c>
    </row>
    <row r="61" spans="1:4" ht="12.75">
      <c r="A61" s="10">
        <f t="shared" si="4"/>
        <v>23</v>
      </c>
      <c r="B61" s="7">
        <f t="shared" si="0"/>
        <v>63469.31686590144</v>
      </c>
      <c r="C61" s="7">
        <f t="shared" si="1"/>
        <v>15743.403735605323</v>
      </c>
      <c r="D61" s="7">
        <f t="shared" si="5"/>
        <v>79212.72060150676</v>
      </c>
    </row>
    <row r="62" spans="1:5" ht="12.75">
      <c r="A62" s="10">
        <f t="shared" si="4"/>
        <v>24</v>
      </c>
      <c r="B62" s="7">
        <f t="shared" si="0"/>
        <v>63393.87972300168</v>
      </c>
      <c r="C62" s="7">
        <f t="shared" si="1"/>
        <v>15818.840878505098</v>
      </c>
      <c r="D62" s="7">
        <f t="shared" si="5"/>
        <v>79212.72060150678</v>
      </c>
      <c r="E62" s="16">
        <f>SUM(B51:B62)</f>
        <v>765627.106777535</v>
      </c>
    </row>
    <row r="63" spans="1:4" ht="12.75">
      <c r="A63" s="10">
        <f t="shared" si="4"/>
        <v>25</v>
      </c>
      <c r="B63" s="7">
        <f t="shared" si="0"/>
        <v>63318.081110458836</v>
      </c>
      <c r="C63" s="7">
        <f t="shared" si="1"/>
        <v>15894.639491047934</v>
      </c>
      <c r="D63" s="7">
        <f t="shared" si="5"/>
        <v>79212.72060150676</v>
      </c>
    </row>
    <row r="64" spans="1:4" ht="12.75">
      <c r="A64" s="10">
        <f t="shared" si="4"/>
        <v>26</v>
      </c>
      <c r="B64" s="7">
        <f t="shared" si="0"/>
        <v>63241.91929623089</v>
      </c>
      <c r="C64" s="7">
        <f t="shared" si="1"/>
        <v>15970.801305275874</v>
      </c>
      <c r="D64" s="7">
        <f t="shared" si="5"/>
        <v>79212.72060150676</v>
      </c>
    </row>
    <row r="65" spans="1:4" ht="12.75">
      <c r="A65" s="10">
        <f t="shared" si="4"/>
        <v>27</v>
      </c>
      <c r="B65" s="7">
        <f t="shared" si="0"/>
        <v>63165.39253997645</v>
      </c>
      <c r="C65" s="7">
        <f t="shared" si="1"/>
        <v>16047.32806153032</v>
      </c>
      <c r="D65" s="7">
        <f t="shared" si="5"/>
        <v>79212.72060150676</v>
      </c>
    </row>
    <row r="66" spans="1:4" ht="12.75">
      <c r="A66" s="10">
        <f t="shared" si="4"/>
        <v>28</v>
      </c>
      <c r="B66" s="7">
        <f t="shared" si="0"/>
        <v>63088.49909301495</v>
      </c>
      <c r="C66" s="7">
        <f t="shared" si="1"/>
        <v>16124.221508491819</v>
      </c>
      <c r="D66" s="7">
        <f t="shared" si="5"/>
        <v>79212.72060150676</v>
      </c>
    </row>
    <row r="67" spans="1:4" ht="12.75">
      <c r="A67" s="10">
        <f t="shared" si="4"/>
        <v>29</v>
      </c>
      <c r="B67" s="7">
        <f t="shared" si="0"/>
        <v>63011.237198286755</v>
      </c>
      <c r="C67" s="7">
        <f t="shared" si="1"/>
        <v>16201.48340322001</v>
      </c>
      <c r="D67" s="7">
        <f t="shared" si="5"/>
        <v>79212.72060150676</v>
      </c>
    </row>
    <row r="68" spans="1:4" ht="12.75">
      <c r="A68" s="10">
        <f t="shared" si="4"/>
        <v>30</v>
      </c>
      <c r="B68" s="7">
        <f t="shared" si="0"/>
        <v>62933.605090313</v>
      </c>
      <c r="C68" s="7">
        <f t="shared" si="1"/>
        <v>16279.115511193771</v>
      </c>
      <c r="D68" s="7">
        <f t="shared" si="5"/>
        <v>79212.72060150678</v>
      </c>
    </row>
    <row r="69" spans="1:4" ht="12.75">
      <c r="A69" s="10">
        <f t="shared" si="4"/>
        <v>31</v>
      </c>
      <c r="B69" s="7">
        <f t="shared" si="0"/>
        <v>62855.600995155204</v>
      </c>
      <c r="C69" s="7">
        <f t="shared" si="1"/>
        <v>16357.119606351576</v>
      </c>
      <c r="D69" s="7">
        <f t="shared" si="5"/>
        <v>79212.72060150678</v>
      </c>
    </row>
    <row r="70" spans="1:4" ht="12.75">
      <c r="A70" s="10">
        <f t="shared" si="4"/>
        <v>32</v>
      </c>
      <c r="B70" s="7">
        <f t="shared" si="0"/>
        <v>62777.223130374754</v>
      </c>
      <c r="C70" s="7">
        <f t="shared" si="1"/>
        <v>16435.497471132014</v>
      </c>
      <c r="D70" s="7">
        <f t="shared" si="5"/>
        <v>79212.72060150676</v>
      </c>
    </row>
    <row r="71" spans="1:4" ht="12.75">
      <c r="A71" s="10">
        <f t="shared" si="4"/>
        <v>33</v>
      </c>
      <c r="B71" s="7">
        <f t="shared" si="0"/>
        <v>62698.469704992254</v>
      </c>
      <c r="C71" s="7">
        <f t="shared" si="1"/>
        <v>16514.250896514513</v>
      </c>
      <c r="D71" s="7">
        <f t="shared" si="5"/>
        <v>79212.72060150676</v>
      </c>
    </row>
    <row r="72" spans="1:4" ht="12.75">
      <c r="A72" s="10">
        <f t="shared" si="4"/>
        <v>34</v>
      </c>
      <c r="B72" s="7">
        <f t="shared" si="0"/>
        <v>62619.33891944645</v>
      </c>
      <c r="C72" s="7">
        <f t="shared" si="1"/>
        <v>16593.381682060313</v>
      </c>
      <c r="D72" s="7">
        <f t="shared" si="5"/>
        <v>79212.72060150676</v>
      </c>
    </row>
    <row r="73" spans="1:4" ht="12.75">
      <c r="A73" s="10">
        <f aca="true" t="shared" si="6" ref="A73:A88">$A72+1</f>
        <v>35</v>
      </c>
      <c r="B73" s="7">
        <f t="shared" si="0"/>
        <v>62539.82896555324</v>
      </c>
      <c r="C73" s="7">
        <f t="shared" si="1"/>
        <v>16672.89163595352</v>
      </c>
      <c r="D73" s="7">
        <f aca="true" t="shared" si="7" ref="D73:D88">SUM(B73:C73)</f>
        <v>79212.72060150676</v>
      </c>
    </row>
    <row r="74" spans="1:5" ht="12.75">
      <c r="A74" s="10">
        <f t="shared" si="6"/>
        <v>36</v>
      </c>
      <c r="B74" s="7">
        <f t="shared" si="0"/>
        <v>62459.938026464304</v>
      </c>
      <c r="C74" s="7">
        <f t="shared" si="1"/>
        <v>16752.782575042464</v>
      </c>
      <c r="D74" s="7">
        <f t="shared" si="7"/>
        <v>79212.72060150676</v>
      </c>
      <c r="E74" s="16">
        <f>SUM(B63:B74)</f>
        <v>754709.1340702671</v>
      </c>
    </row>
    <row r="75" spans="1:4" ht="12.75">
      <c r="A75" s="10">
        <f t="shared" si="6"/>
        <v>37</v>
      </c>
      <c r="B75" s="7">
        <f t="shared" si="0"/>
        <v>62379.66427662555</v>
      </c>
      <c r="C75" s="7">
        <f t="shared" si="1"/>
        <v>16833.05632488121</v>
      </c>
      <c r="D75" s="7">
        <f t="shared" si="7"/>
        <v>79212.72060150676</v>
      </c>
    </row>
    <row r="76" spans="1:4" ht="12.75">
      <c r="A76" s="10">
        <f t="shared" si="6"/>
        <v>38</v>
      </c>
      <c r="B76" s="7">
        <f t="shared" si="0"/>
        <v>62299.0058817355</v>
      </c>
      <c r="C76" s="7">
        <f t="shared" si="1"/>
        <v>16913.71471977127</v>
      </c>
      <c r="D76" s="7">
        <f t="shared" si="7"/>
        <v>79212.72060150676</v>
      </c>
    </row>
    <row r="77" spans="1:4" ht="12.75">
      <c r="A77" s="10">
        <f t="shared" si="6"/>
        <v>39</v>
      </c>
      <c r="B77" s="7">
        <f t="shared" si="0"/>
        <v>62217.96099870326</v>
      </c>
      <c r="C77" s="7">
        <f t="shared" si="1"/>
        <v>16994.7596028035</v>
      </c>
      <c r="D77" s="7">
        <f t="shared" si="7"/>
        <v>79212.72060150676</v>
      </c>
    </row>
    <row r="78" spans="1:4" ht="12.75">
      <c r="A78" s="10">
        <f t="shared" si="6"/>
        <v>40</v>
      </c>
      <c r="B78" s="7">
        <f t="shared" si="0"/>
        <v>62136.527775606504</v>
      </c>
      <c r="C78" s="7">
        <f t="shared" si="1"/>
        <v>17076.19282590027</v>
      </c>
      <c r="D78" s="7">
        <f t="shared" si="7"/>
        <v>79212.72060150678</v>
      </c>
    </row>
    <row r="79" spans="1:4" ht="12.75">
      <c r="A79" s="10">
        <f t="shared" si="6"/>
        <v>41</v>
      </c>
      <c r="B79" s="7">
        <f t="shared" si="0"/>
        <v>62054.70435164906</v>
      </c>
      <c r="C79" s="7">
        <f t="shared" si="1"/>
        <v>17158.01624985771</v>
      </c>
      <c r="D79" s="7">
        <f t="shared" si="7"/>
        <v>79212.72060150676</v>
      </c>
    </row>
    <row r="80" spans="1:4" ht="12.75">
      <c r="A80" s="10">
        <f t="shared" si="6"/>
        <v>42</v>
      </c>
      <c r="B80" s="7">
        <f t="shared" si="0"/>
        <v>61972.48885711849</v>
      </c>
      <c r="C80" s="7">
        <f t="shared" si="1"/>
        <v>17240.231744388275</v>
      </c>
      <c r="D80" s="7">
        <f t="shared" si="7"/>
        <v>79212.72060150676</v>
      </c>
    </row>
    <row r="81" spans="1:4" ht="12.75">
      <c r="A81" s="10">
        <f t="shared" si="6"/>
        <v>43</v>
      </c>
      <c r="B81" s="7">
        <f t="shared" si="0"/>
        <v>61889.879413343304</v>
      </c>
      <c r="C81" s="7">
        <f t="shared" si="1"/>
        <v>17322.84118816347</v>
      </c>
      <c r="D81" s="7">
        <f t="shared" si="7"/>
        <v>79212.72060150678</v>
      </c>
    </row>
    <row r="82" spans="1:4" ht="12.75">
      <c r="A82" s="10">
        <f t="shared" si="6"/>
        <v>44</v>
      </c>
      <c r="B82" s="7">
        <f t="shared" si="0"/>
        <v>61806.87413265002</v>
      </c>
      <c r="C82" s="7">
        <f t="shared" si="1"/>
        <v>17405.84646885676</v>
      </c>
      <c r="D82" s="7">
        <f t="shared" si="7"/>
        <v>79212.72060150678</v>
      </c>
    </row>
    <row r="83" spans="1:4" ht="12.75">
      <c r="A83" s="10">
        <f t="shared" si="6"/>
        <v>45</v>
      </c>
      <c r="B83" s="7">
        <f t="shared" si="0"/>
        <v>61723.47111832008</v>
      </c>
      <c r="C83" s="7">
        <f t="shared" si="1"/>
        <v>17489.249483186693</v>
      </c>
      <c r="D83" s="7">
        <f t="shared" si="7"/>
        <v>79212.72060150676</v>
      </c>
    </row>
    <row r="84" spans="1:4" ht="12.75">
      <c r="A84" s="10">
        <f t="shared" si="6"/>
        <v>46</v>
      </c>
      <c r="B84" s="7">
        <f t="shared" si="0"/>
        <v>61639.66846454647</v>
      </c>
      <c r="C84" s="7">
        <f t="shared" si="1"/>
        <v>17573.052136960294</v>
      </c>
      <c r="D84" s="7">
        <f t="shared" si="7"/>
        <v>79212.72060150676</v>
      </c>
    </row>
    <row r="85" spans="1:4" ht="12.75">
      <c r="A85" s="10">
        <f t="shared" si="6"/>
        <v>47</v>
      </c>
      <c r="B85" s="7">
        <f t="shared" si="0"/>
        <v>61555.46425639021</v>
      </c>
      <c r="C85" s="7">
        <f t="shared" si="1"/>
        <v>17657.256345116566</v>
      </c>
      <c r="D85" s="7">
        <f t="shared" si="7"/>
        <v>79212.72060150678</v>
      </c>
    </row>
    <row r="86" spans="1:5" ht="12.75">
      <c r="A86" s="10">
        <f t="shared" si="6"/>
        <v>48</v>
      </c>
      <c r="B86" s="7">
        <f t="shared" si="0"/>
        <v>61470.85656973652</v>
      </c>
      <c r="C86" s="7">
        <f t="shared" si="1"/>
        <v>17741.86403177025</v>
      </c>
      <c r="D86" s="7">
        <f t="shared" si="7"/>
        <v>79212.72060150676</v>
      </c>
      <c r="E86" s="16">
        <f>SUM(B75:B86)</f>
        <v>743146.5660964249</v>
      </c>
    </row>
    <row r="87" spans="1:4" ht="12.75">
      <c r="A87" s="10">
        <f t="shared" si="6"/>
        <v>49</v>
      </c>
      <c r="B87" s="7">
        <f t="shared" si="0"/>
        <v>61385.843471250955</v>
      </c>
      <c r="C87" s="7">
        <f t="shared" si="1"/>
        <v>17826.877130255813</v>
      </c>
      <c r="D87" s="7">
        <f t="shared" si="7"/>
        <v>79212.72060150676</v>
      </c>
    </row>
    <row r="88" spans="1:4" ht="12.75">
      <c r="A88" s="10">
        <f t="shared" si="6"/>
        <v>50</v>
      </c>
      <c r="B88" s="7">
        <f t="shared" si="0"/>
        <v>61300.42301833515</v>
      </c>
      <c r="C88" s="7">
        <f t="shared" si="1"/>
        <v>17912.297583171625</v>
      </c>
      <c r="D88" s="7">
        <f t="shared" si="7"/>
        <v>79212.72060150676</v>
      </c>
    </row>
    <row r="89" spans="1:4" ht="12.75">
      <c r="A89" s="10">
        <f aca="true" t="shared" si="8" ref="A89:A104">$A88+1</f>
        <v>51</v>
      </c>
      <c r="B89" s="7">
        <f t="shared" si="0"/>
        <v>61214.593259082445</v>
      </c>
      <c r="C89" s="7">
        <f t="shared" si="1"/>
        <v>17998.127342424323</v>
      </c>
      <c r="D89" s="7">
        <f aca="true" t="shared" si="9" ref="D89:D104">SUM(B89:C89)</f>
        <v>79212.72060150676</v>
      </c>
    </row>
    <row r="90" spans="1:4" ht="12.75">
      <c r="A90" s="10">
        <f t="shared" si="8"/>
        <v>52</v>
      </c>
      <c r="B90" s="7">
        <f t="shared" si="0"/>
        <v>61128.35223223333</v>
      </c>
      <c r="C90" s="7">
        <f t="shared" si="1"/>
        <v>18084.368369273434</v>
      </c>
      <c r="D90" s="7">
        <f t="shared" si="9"/>
        <v>79212.72060150676</v>
      </c>
    </row>
    <row r="91" spans="1:4" ht="12.75">
      <c r="A91" s="10">
        <f t="shared" si="8"/>
        <v>53</v>
      </c>
      <c r="B91" s="7">
        <f t="shared" si="0"/>
        <v>61041.69796713056</v>
      </c>
      <c r="C91" s="7">
        <f t="shared" si="1"/>
        <v>18171.022634376204</v>
      </c>
      <c r="D91" s="7">
        <f t="shared" si="9"/>
        <v>79212.72060150676</v>
      </c>
    </row>
    <row r="92" spans="1:4" ht="12.75">
      <c r="A92" s="10">
        <f t="shared" si="8"/>
        <v>54</v>
      </c>
      <c r="B92" s="7">
        <f t="shared" si="0"/>
        <v>60954.628483674176</v>
      </c>
      <c r="C92" s="7">
        <f t="shared" si="1"/>
        <v>18258.09211783259</v>
      </c>
      <c r="D92" s="7">
        <f t="shared" si="9"/>
        <v>79212.72060150676</v>
      </c>
    </row>
    <row r="93" spans="1:4" ht="12.75">
      <c r="A93" s="10">
        <f t="shared" si="8"/>
        <v>55</v>
      </c>
      <c r="B93" s="7">
        <f t="shared" si="0"/>
        <v>60867.14179227623</v>
      </c>
      <c r="C93" s="7">
        <f t="shared" si="1"/>
        <v>18345.57880923054</v>
      </c>
      <c r="D93" s="7">
        <f t="shared" si="9"/>
        <v>79212.72060150676</v>
      </c>
    </row>
    <row r="94" spans="1:4" ht="12.75">
      <c r="A94" s="10">
        <f t="shared" si="8"/>
        <v>56</v>
      </c>
      <c r="B94" s="7">
        <f t="shared" si="0"/>
        <v>60779.235893815334</v>
      </c>
      <c r="C94" s="7">
        <f t="shared" si="1"/>
        <v>18433.484707691438</v>
      </c>
      <c r="D94" s="7">
        <f t="shared" si="9"/>
        <v>79212.72060150676</v>
      </c>
    </row>
    <row r="95" spans="1:4" ht="12.75">
      <c r="A95" s="10">
        <f t="shared" si="8"/>
        <v>57</v>
      </c>
      <c r="B95" s="7">
        <f t="shared" si="0"/>
        <v>60690.90877959097</v>
      </c>
      <c r="C95" s="7">
        <f t="shared" si="1"/>
        <v>18521.81182191579</v>
      </c>
      <c r="D95" s="7">
        <f t="shared" si="9"/>
        <v>79212.72060150676</v>
      </c>
    </row>
    <row r="96" spans="1:4" ht="12.75">
      <c r="A96" s="10">
        <f t="shared" si="8"/>
        <v>58</v>
      </c>
      <c r="B96" s="7">
        <f t="shared" si="0"/>
        <v>60602.15843127763</v>
      </c>
      <c r="C96" s="7">
        <f t="shared" si="1"/>
        <v>18610.562170229136</v>
      </c>
      <c r="D96" s="7">
        <f t="shared" si="9"/>
        <v>79212.72060150676</v>
      </c>
    </row>
    <row r="97" spans="1:4" ht="12.75">
      <c r="A97" s="10">
        <f t="shared" si="8"/>
        <v>59</v>
      </c>
      <c r="B97" s="7">
        <f t="shared" si="0"/>
        <v>60512.98282087862</v>
      </c>
      <c r="C97" s="7">
        <f t="shared" si="1"/>
        <v>18699.73778062815</v>
      </c>
      <c r="D97" s="7">
        <f t="shared" si="9"/>
        <v>79212.72060150676</v>
      </c>
    </row>
    <row r="98" spans="1:5" ht="12.75">
      <c r="A98" s="10">
        <f t="shared" si="8"/>
        <v>60</v>
      </c>
      <c r="B98" s="7">
        <f t="shared" si="0"/>
        <v>60423.37991067977</v>
      </c>
      <c r="C98" s="7">
        <f t="shared" si="1"/>
        <v>18789.340690826997</v>
      </c>
      <c r="D98" s="7">
        <f t="shared" si="9"/>
        <v>79212.72060150676</v>
      </c>
      <c r="E98" s="16">
        <f>SUM(B87:B98)</f>
        <v>730901.3460602252</v>
      </c>
    </row>
    <row r="99" spans="1:4" ht="12.75">
      <c r="A99" s="10">
        <f t="shared" si="8"/>
        <v>61</v>
      </c>
      <c r="B99" s="7">
        <f t="shared" si="0"/>
        <v>60333.347653202894</v>
      </c>
      <c r="C99" s="7">
        <f t="shared" si="1"/>
        <v>18879.372948303873</v>
      </c>
      <c r="D99" s="7">
        <f t="shared" si="9"/>
        <v>79212.72060150676</v>
      </c>
    </row>
    <row r="100" spans="1:4" ht="12.75">
      <c r="A100" s="10">
        <f t="shared" si="8"/>
        <v>62</v>
      </c>
      <c r="B100" s="7">
        <f t="shared" si="0"/>
        <v>60242.88399115893</v>
      </c>
      <c r="C100" s="7">
        <f t="shared" si="1"/>
        <v>18969.83661034783</v>
      </c>
      <c r="D100" s="7">
        <f t="shared" si="9"/>
        <v>79212.72060150676</v>
      </c>
    </row>
    <row r="101" spans="1:4" ht="12.75">
      <c r="A101" s="10">
        <f t="shared" si="8"/>
        <v>63</v>
      </c>
      <c r="B101" s="7">
        <f t="shared" si="0"/>
        <v>60151.98685740102</v>
      </c>
      <c r="C101" s="7">
        <f t="shared" si="1"/>
        <v>19060.73374410575</v>
      </c>
      <c r="D101" s="7">
        <f t="shared" si="9"/>
        <v>79212.72060150676</v>
      </c>
    </row>
    <row r="102" spans="1:4" ht="12.75">
      <c r="A102" s="10">
        <f t="shared" si="8"/>
        <v>64</v>
      </c>
      <c r="B102" s="7">
        <f t="shared" si="0"/>
        <v>60060.65417487718</v>
      </c>
      <c r="C102" s="7">
        <f t="shared" si="1"/>
        <v>19152.066426629586</v>
      </c>
      <c r="D102" s="7">
        <f t="shared" si="9"/>
        <v>79212.72060150676</v>
      </c>
    </row>
    <row r="103" spans="1:4" ht="12.75">
      <c r="A103" s="10">
        <f t="shared" si="8"/>
        <v>65</v>
      </c>
      <c r="B103" s="7">
        <f t="shared" si="0"/>
        <v>59968.88385658291</v>
      </c>
      <c r="C103" s="7">
        <f t="shared" si="1"/>
        <v>19243.836744923854</v>
      </c>
      <c r="D103" s="7">
        <f t="shared" si="9"/>
        <v>79212.72060150676</v>
      </c>
    </row>
    <row r="104" spans="1:4" ht="12.75">
      <c r="A104" s="10">
        <f t="shared" si="8"/>
        <v>66</v>
      </c>
      <c r="B104" s="7">
        <f aca="true" t="shared" si="10" ref="B104:B167">IF($D$27+0.5&gt;$A104,-IPMT($D$30,$A104,$D$27,$D$17,0,0),0)</f>
        <v>59876.673805513485</v>
      </c>
      <c r="C104" s="7">
        <f aca="true" t="shared" si="11" ref="C104:C167">IF($D$27+0.5&gt;$A104,-PPMT($D$30,$A104,$D$27,$D$17,0,0),0)</f>
        <v>19336.046795993283</v>
      </c>
      <c r="D104" s="7">
        <f t="shared" si="9"/>
        <v>79212.72060150676</v>
      </c>
    </row>
    <row r="105" spans="1:4" ht="12.75">
      <c r="A105" s="10">
        <f aca="true" t="shared" si="12" ref="A105:A120">$A104+1</f>
        <v>67</v>
      </c>
      <c r="B105" s="7">
        <f t="shared" si="10"/>
        <v>59784.02191461602</v>
      </c>
      <c r="C105" s="7">
        <f t="shared" si="11"/>
        <v>19428.698686890748</v>
      </c>
      <c r="D105" s="7">
        <f aca="true" t="shared" si="13" ref="D105:D120">SUM(B105:C105)</f>
        <v>79212.72060150676</v>
      </c>
    </row>
    <row r="106" spans="1:4" ht="12.75">
      <c r="A106" s="10">
        <f t="shared" si="12"/>
        <v>68</v>
      </c>
      <c r="B106" s="7">
        <f t="shared" si="10"/>
        <v>59690.92606674134</v>
      </c>
      <c r="C106" s="7">
        <f t="shared" si="11"/>
        <v>19521.794534765435</v>
      </c>
      <c r="D106" s="7">
        <f t="shared" si="13"/>
        <v>79212.72060150678</v>
      </c>
    </row>
    <row r="107" spans="1:4" ht="12.75">
      <c r="A107" s="10">
        <f t="shared" si="12"/>
        <v>69</v>
      </c>
      <c r="B107" s="7">
        <f t="shared" si="10"/>
        <v>59597.38413459558</v>
      </c>
      <c r="C107" s="7">
        <f t="shared" si="11"/>
        <v>19615.336466911187</v>
      </c>
      <c r="D107" s="7">
        <f t="shared" si="13"/>
        <v>79212.72060150676</v>
      </c>
    </row>
    <row r="108" spans="1:4" ht="12.75">
      <c r="A108" s="10">
        <f t="shared" si="12"/>
        <v>70</v>
      </c>
      <c r="B108" s="7">
        <f t="shared" si="10"/>
        <v>59503.39398069163</v>
      </c>
      <c r="C108" s="7">
        <f t="shared" si="11"/>
        <v>19709.326620815133</v>
      </c>
      <c r="D108" s="7">
        <f t="shared" si="13"/>
        <v>79212.72060150676</v>
      </c>
    </row>
    <row r="109" spans="1:4" ht="12.75">
      <c r="A109" s="10">
        <f t="shared" si="12"/>
        <v>71</v>
      </c>
      <c r="B109" s="7">
        <f t="shared" si="10"/>
        <v>59408.95345730024</v>
      </c>
      <c r="C109" s="7">
        <f t="shared" si="11"/>
        <v>19803.76714420654</v>
      </c>
      <c r="D109" s="7">
        <f t="shared" si="13"/>
        <v>79212.72060150678</v>
      </c>
    </row>
    <row r="110" spans="1:5" ht="12.75">
      <c r="A110" s="10">
        <f t="shared" si="12"/>
        <v>72</v>
      </c>
      <c r="B110" s="7">
        <f t="shared" si="10"/>
        <v>59314.06040640091</v>
      </c>
      <c r="C110" s="7">
        <f t="shared" si="11"/>
        <v>19898.660195105862</v>
      </c>
      <c r="D110" s="7">
        <f t="shared" si="13"/>
        <v>79212.72060150676</v>
      </c>
      <c r="E110" s="16">
        <f>SUM(B99:B110)</f>
        <v>717933.1702990822</v>
      </c>
    </row>
    <row r="111" spans="1:4" ht="12.75">
      <c r="A111" s="10">
        <f t="shared" si="12"/>
        <v>73</v>
      </c>
      <c r="B111" s="7">
        <f t="shared" si="10"/>
        <v>59218.71265963269</v>
      </c>
      <c r="C111" s="7">
        <f t="shared" si="11"/>
        <v>19994.00794187408</v>
      </c>
      <c r="D111" s="7">
        <f t="shared" si="13"/>
        <v>79212.72060150676</v>
      </c>
    </row>
    <row r="112" spans="1:4" ht="12.75">
      <c r="A112" s="10">
        <f t="shared" si="12"/>
        <v>74</v>
      </c>
      <c r="B112" s="7">
        <f t="shared" si="10"/>
        <v>59122.908038244546</v>
      </c>
      <c r="C112" s="7">
        <f t="shared" si="11"/>
        <v>20089.812563262225</v>
      </c>
      <c r="D112" s="7">
        <f t="shared" si="13"/>
        <v>79212.72060150676</v>
      </c>
    </row>
    <row r="113" spans="1:4" ht="12.75">
      <c r="A113" s="10">
        <f t="shared" si="12"/>
        <v>75</v>
      </c>
      <c r="B113" s="7">
        <f t="shared" si="10"/>
        <v>59026.64435304558</v>
      </c>
      <c r="C113" s="7">
        <f t="shared" si="11"/>
        <v>20186.076248461195</v>
      </c>
      <c r="D113" s="7">
        <f t="shared" si="13"/>
        <v>79212.72060150678</v>
      </c>
    </row>
    <row r="114" spans="1:4" ht="12.75">
      <c r="A114" s="10">
        <f t="shared" si="12"/>
        <v>76</v>
      </c>
      <c r="B114" s="7">
        <f t="shared" si="10"/>
        <v>58929.91940435504</v>
      </c>
      <c r="C114" s="7">
        <f t="shared" si="11"/>
        <v>20282.801197151734</v>
      </c>
      <c r="D114" s="7">
        <f t="shared" si="13"/>
        <v>79212.72060150676</v>
      </c>
    </row>
    <row r="115" spans="1:4" ht="12.75">
      <c r="A115" s="10">
        <f t="shared" si="12"/>
        <v>77</v>
      </c>
      <c r="B115" s="7">
        <f t="shared" si="10"/>
        <v>58832.730981952016</v>
      </c>
      <c r="C115" s="7">
        <f t="shared" si="11"/>
        <v>20379.989619554748</v>
      </c>
      <c r="D115" s="7">
        <f t="shared" si="13"/>
        <v>79212.72060150676</v>
      </c>
    </row>
    <row r="116" spans="1:4" ht="12.75">
      <c r="A116" s="10">
        <f t="shared" si="12"/>
        <v>78</v>
      </c>
      <c r="B116" s="7">
        <f t="shared" si="10"/>
        <v>58735.07686502499</v>
      </c>
      <c r="C116" s="7">
        <f t="shared" si="11"/>
        <v>20477.643736481787</v>
      </c>
      <c r="D116" s="7">
        <f t="shared" si="13"/>
        <v>79212.72060150678</v>
      </c>
    </row>
    <row r="117" spans="1:4" ht="12.75">
      <c r="A117" s="10">
        <f t="shared" si="12"/>
        <v>79</v>
      </c>
      <c r="B117" s="7">
        <f t="shared" si="10"/>
        <v>58636.95482212101</v>
      </c>
      <c r="C117" s="7">
        <f t="shared" si="11"/>
        <v>20575.76577938576</v>
      </c>
      <c r="D117" s="7">
        <f t="shared" si="13"/>
        <v>79212.72060150678</v>
      </c>
    </row>
    <row r="118" spans="1:4" ht="12.75">
      <c r="A118" s="10">
        <f t="shared" si="12"/>
        <v>80</v>
      </c>
      <c r="B118" s="7">
        <f t="shared" si="10"/>
        <v>58538.36261109478</v>
      </c>
      <c r="C118" s="7">
        <f t="shared" si="11"/>
        <v>20674.357990411983</v>
      </c>
      <c r="D118" s="7">
        <f t="shared" si="13"/>
        <v>79212.72060150676</v>
      </c>
    </row>
    <row r="119" spans="1:4" ht="12.75">
      <c r="A119" s="10">
        <f t="shared" si="12"/>
        <v>81</v>
      </c>
      <c r="B119" s="7">
        <f t="shared" si="10"/>
        <v>58439.2979790574</v>
      </c>
      <c r="C119" s="7">
        <f t="shared" si="11"/>
        <v>20773.422622449372</v>
      </c>
      <c r="D119" s="7">
        <f t="shared" si="13"/>
        <v>79212.72060150678</v>
      </c>
    </row>
    <row r="120" spans="1:4" ht="12.75">
      <c r="A120" s="10">
        <f t="shared" si="12"/>
        <v>82</v>
      </c>
      <c r="B120" s="7">
        <f t="shared" si="10"/>
        <v>58339.75866232483</v>
      </c>
      <c r="C120" s="7">
        <f t="shared" si="11"/>
        <v>20872.961939181947</v>
      </c>
      <c r="D120" s="7">
        <f t="shared" si="13"/>
        <v>79212.72060150678</v>
      </c>
    </row>
    <row r="121" spans="1:4" ht="12.75">
      <c r="A121" s="10">
        <f aca="true" t="shared" si="14" ref="A121:A136">$A120+1</f>
        <v>83</v>
      </c>
      <c r="B121" s="7">
        <f t="shared" si="10"/>
        <v>58239.74238636625</v>
      </c>
      <c r="C121" s="7">
        <f t="shared" si="11"/>
        <v>20972.978215140527</v>
      </c>
      <c r="D121" s="7">
        <f aca="true" t="shared" si="15" ref="D121:D136">SUM(B121:C121)</f>
        <v>79212.72060150678</v>
      </c>
    </row>
    <row r="122" spans="1:5" ht="12.75">
      <c r="A122" s="10">
        <f t="shared" si="14"/>
        <v>84</v>
      </c>
      <c r="B122" s="7">
        <f t="shared" si="10"/>
        <v>58139.24686575203</v>
      </c>
      <c r="C122" s="7">
        <f t="shared" si="11"/>
        <v>21073.473735754742</v>
      </c>
      <c r="D122" s="7">
        <f t="shared" si="15"/>
        <v>79212.72060150676</v>
      </c>
      <c r="E122" s="16">
        <f>SUM(B111:B122)</f>
        <v>704199.3556289712</v>
      </c>
    </row>
    <row r="123" spans="1:4" ht="12.75">
      <c r="A123" s="10">
        <f t="shared" si="14"/>
        <v>85</v>
      </c>
      <c r="B123" s="7">
        <f t="shared" si="10"/>
        <v>58038.26980410155</v>
      </c>
      <c r="C123" s="7">
        <f t="shared" si="11"/>
        <v>21174.45079740523</v>
      </c>
      <c r="D123" s="7">
        <f t="shared" si="15"/>
        <v>79212.72060150678</v>
      </c>
    </row>
    <row r="124" spans="1:4" ht="12.75">
      <c r="A124" s="10">
        <f t="shared" si="14"/>
        <v>86</v>
      </c>
      <c r="B124" s="7">
        <f t="shared" si="10"/>
        <v>57936.80889403065</v>
      </c>
      <c r="C124" s="7">
        <f t="shared" si="11"/>
        <v>21275.91170747613</v>
      </c>
      <c r="D124" s="7">
        <f t="shared" si="15"/>
        <v>79212.72060150678</v>
      </c>
    </row>
    <row r="125" spans="1:4" ht="12.75">
      <c r="A125" s="10">
        <f t="shared" si="14"/>
        <v>87</v>
      </c>
      <c r="B125" s="7">
        <f t="shared" si="10"/>
        <v>57834.86181709898</v>
      </c>
      <c r="C125" s="7">
        <f t="shared" si="11"/>
        <v>21377.85878440779</v>
      </c>
      <c r="D125" s="7">
        <f t="shared" si="15"/>
        <v>79212.72060150676</v>
      </c>
    </row>
    <row r="126" spans="1:4" ht="12.75">
      <c r="A126" s="10">
        <f t="shared" si="14"/>
        <v>88</v>
      </c>
      <c r="B126" s="7">
        <f t="shared" si="10"/>
        <v>57732.42624375703</v>
      </c>
      <c r="C126" s="7">
        <f t="shared" si="11"/>
        <v>21480.294357749743</v>
      </c>
      <c r="D126" s="7">
        <f t="shared" si="15"/>
        <v>79212.72060150676</v>
      </c>
    </row>
    <row r="127" spans="1:4" ht="12.75">
      <c r="A127" s="10">
        <f t="shared" si="14"/>
        <v>89</v>
      </c>
      <c r="B127" s="7">
        <f t="shared" si="10"/>
        <v>57629.499833292815</v>
      </c>
      <c r="C127" s="7">
        <f t="shared" si="11"/>
        <v>21583.22076821396</v>
      </c>
      <c r="D127" s="7">
        <f t="shared" si="15"/>
        <v>79212.72060150678</v>
      </c>
    </row>
    <row r="128" spans="1:4" ht="12.75">
      <c r="A128" s="10">
        <f t="shared" si="14"/>
        <v>90</v>
      </c>
      <c r="B128" s="7">
        <f t="shared" si="10"/>
        <v>57526.080233778455</v>
      </c>
      <c r="C128" s="7">
        <f t="shared" si="11"/>
        <v>21686.640367728316</v>
      </c>
      <c r="D128" s="7">
        <f t="shared" si="15"/>
        <v>79212.72060150676</v>
      </c>
    </row>
    <row r="129" spans="1:4" ht="12.75">
      <c r="A129" s="10">
        <f t="shared" si="14"/>
        <v>91</v>
      </c>
      <c r="B129" s="7">
        <f t="shared" si="10"/>
        <v>57422.16508201642</v>
      </c>
      <c r="C129" s="7">
        <f t="shared" si="11"/>
        <v>21790.55551949035</v>
      </c>
      <c r="D129" s="7">
        <f t="shared" si="15"/>
        <v>79212.72060150676</v>
      </c>
    </row>
    <row r="130" spans="1:4" ht="12.75">
      <c r="A130" s="10">
        <f t="shared" si="14"/>
        <v>92</v>
      </c>
      <c r="B130" s="7">
        <f t="shared" si="10"/>
        <v>57317.752003485526</v>
      </c>
      <c r="C130" s="7">
        <f t="shared" si="11"/>
        <v>21894.968598021238</v>
      </c>
      <c r="D130" s="7">
        <f t="shared" si="15"/>
        <v>79212.72060150676</v>
      </c>
    </row>
    <row r="131" spans="1:4" ht="12.75">
      <c r="A131" s="10">
        <f t="shared" si="14"/>
        <v>93</v>
      </c>
      <c r="B131" s="7">
        <f t="shared" si="10"/>
        <v>57212.838612286665</v>
      </c>
      <c r="C131" s="7">
        <f t="shared" si="11"/>
        <v>21999.881989220095</v>
      </c>
      <c r="D131" s="7">
        <f t="shared" si="15"/>
        <v>79212.72060150676</v>
      </c>
    </row>
    <row r="132" spans="1:4" ht="12.75">
      <c r="A132" s="10">
        <f t="shared" si="14"/>
        <v>94</v>
      </c>
      <c r="B132" s="7">
        <f t="shared" si="10"/>
        <v>57107.42251108833</v>
      </c>
      <c r="C132" s="7">
        <f t="shared" si="11"/>
        <v>22105.29809041844</v>
      </c>
      <c r="D132" s="7">
        <f t="shared" si="15"/>
        <v>79212.72060150676</v>
      </c>
    </row>
    <row r="133" spans="1:4" ht="12.75">
      <c r="A133" s="10">
        <f t="shared" si="14"/>
        <v>95</v>
      </c>
      <c r="B133" s="7">
        <f t="shared" si="10"/>
        <v>57001.50129107174</v>
      </c>
      <c r="C133" s="7">
        <f t="shared" si="11"/>
        <v>22211.219310435023</v>
      </c>
      <c r="D133" s="7">
        <f t="shared" si="15"/>
        <v>79212.72060150676</v>
      </c>
    </row>
    <row r="134" spans="1:5" ht="12.75">
      <c r="A134" s="10">
        <f t="shared" si="14"/>
        <v>96</v>
      </c>
      <c r="B134" s="7">
        <f t="shared" si="10"/>
        <v>56895.07253187591</v>
      </c>
      <c r="C134" s="7">
        <f t="shared" si="11"/>
        <v>22317.648069630864</v>
      </c>
      <c r="D134" s="7">
        <f t="shared" si="15"/>
        <v>79212.72060150676</v>
      </c>
      <c r="E134" s="16">
        <f>SUM(B123:B134)</f>
        <v>689654.698857884</v>
      </c>
    </row>
    <row r="135" spans="1:4" ht="12.75">
      <c r="A135" s="10">
        <f t="shared" si="14"/>
        <v>97</v>
      </c>
      <c r="B135" s="7">
        <f t="shared" si="10"/>
        <v>56788.13380154226</v>
      </c>
      <c r="C135" s="7">
        <f t="shared" si="11"/>
        <v>22424.58679996451</v>
      </c>
      <c r="D135" s="7">
        <f t="shared" si="15"/>
        <v>79212.72060150676</v>
      </c>
    </row>
    <row r="136" spans="1:4" ht="12.75">
      <c r="A136" s="10">
        <f t="shared" si="14"/>
        <v>98</v>
      </c>
      <c r="B136" s="7">
        <f t="shared" si="10"/>
        <v>56680.682656459096</v>
      </c>
      <c r="C136" s="7">
        <f t="shared" si="11"/>
        <v>22532.037945047672</v>
      </c>
      <c r="D136" s="7">
        <f t="shared" si="15"/>
        <v>79212.72060150676</v>
      </c>
    </row>
    <row r="137" spans="1:4" ht="12.75">
      <c r="A137" s="10">
        <f aca="true" t="shared" si="16" ref="A137:A152">$A136+1</f>
        <v>99</v>
      </c>
      <c r="B137" s="7">
        <f t="shared" si="10"/>
        <v>56572.71664130574</v>
      </c>
      <c r="C137" s="7">
        <f t="shared" si="11"/>
        <v>22640.003960201026</v>
      </c>
      <c r="D137" s="7">
        <f aca="true" t="shared" si="17" ref="D137:D152">SUM(B137:C137)</f>
        <v>79212.72060150676</v>
      </c>
    </row>
    <row r="138" spans="1:4" ht="12.75">
      <c r="A138" s="10">
        <f t="shared" si="16"/>
        <v>100</v>
      </c>
      <c r="B138" s="7">
        <f t="shared" si="10"/>
        <v>56464.233288996445</v>
      </c>
      <c r="C138" s="7">
        <f t="shared" si="11"/>
        <v>22748.487312510326</v>
      </c>
      <c r="D138" s="7">
        <f t="shared" si="17"/>
        <v>79212.72060150676</v>
      </c>
    </row>
    <row r="139" spans="1:4" ht="12.75">
      <c r="A139" s="10">
        <f t="shared" si="16"/>
        <v>101</v>
      </c>
      <c r="B139" s="7">
        <f t="shared" si="10"/>
        <v>56355.230120624</v>
      </c>
      <c r="C139" s="7">
        <f t="shared" si="11"/>
        <v>22857.490480882767</v>
      </c>
      <c r="D139" s="7">
        <f t="shared" si="17"/>
        <v>79212.72060150676</v>
      </c>
    </row>
    <row r="140" spans="1:4" ht="12.75">
      <c r="A140" s="10">
        <f t="shared" si="16"/>
        <v>102</v>
      </c>
      <c r="B140" s="7">
        <f t="shared" si="10"/>
        <v>56245.70464540311</v>
      </c>
      <c r="C140" s="7">
        <f t="shared" si="11"/>
        <v>22967.015956103663</v>
      </c>
      <c r="D140" s="7">
        <f t="shared" si="17"/>
        <v>79212.72060150676</v>
      </c>
    </row>
    <row r="141" spans="1:4" ht="12.75">
      <c r="A141" s="10">
        <f t="shared" si="16"/>
        <v>103</v>
      </c>
      <c r="B141" s="7">
        <f t="shared" si="10"/>
        <v>56135.654360613444</v>
      </c>
      <c r="C141" s="7">
        <f t="shared" si="11"/>
        <v>23077.066240893328</v>
      </c>
      <c r="D141" s="7">
        <f t="shared" si="17"/>
        <v>79212.72060150676</v>
      </c>
    </row>
    <row r="142" spans="1:4" ht="12.75">
      <c r="A142" s="10">
        <f t="shared" si="16"/>
        <v>104</v>
      </c>
      <c r="B142" s="7">
        <f t="shared" si="10"/>
        <v>56025.0767515425</v>
      </c>
      <c r="C142" s="7">
        <f t="shared" si="11"/>
        <v>23187.64384996427</v>
      </c>
      <c r="D142" s="7">
        <f t="shared" si="17"/>
        <v>79212.72060150678</v>
      </c>
    </row>
    <row r="143" spans="1:4" ht="12.75">
      <c r="A143" s="10">
        <f t="shared" si="16"/>
        <v>105</v>
      </c>
      <c r="B143" s="7">
        <f t="shared" si="10"/>
        <v>55913.96929142808</v>
      </c>
      <c r="C143" s="7">
        <f t="shared" si="11"/>
        <v>23298.75131007869</v>
      </c>
      <c r="D143" s="7">
        <f t="shared" si="17"/>
        <v>79212.72060150676</v>
      </c>
    </row>
    <row r="144" spans="1:4" ht="12.75">
      <c r="A144" s="10">
        <f t="shared" si="16"/>
        <v>106</v>
      </c>
      <c r="B144" s="7">
        <f t="shared" si="10"/>
        <v>55802.32944140062</v>
      </c>
      <c r="C144" s="7">
        <f t="shared" si="11"/>
        <v>23410.391160106148</v>
      </c>
      <c r="D144" s="7">
        <f t="shared" si="17"/>
        <v>79212.72060150676</v>
      </c>
    </row>
    <row r="145" spans="1:4" ht="12.75">
      <c r="A145" s="10">
        <f t="shared" si="16"/>
        <v>107</v>
      </c>
      <c r="B145" s="7">
        <f t="shared" si="10"/>
        <v>55690.154650425124</v>
      </c>
      <c r="C145" s="7">
        <f t="shared" si="11"/>
        <v>23522.565951081655</v>
      </c>
      <c r="D145" s="7">
        <f t="shared" si="17"/>
        <v>79212.72060150678</v>
      </c>
    </row>
    <row r="146" spans="1:5" ht="12.75">
      <c r="A146" s="10">
        <f t="shared" si="16"/>
        <v>108</v>
      </c>
      <c r="B146" s="7">
        <f t="shared" si="10"/>
        <v>55577.442355242856</v>
      </c>
      <c r="C146" s="7">
        <f t="shared" si="11"/>
        <v>23635.278246263922</v>
      </c>
      <c r="D146" s="7">
        <f t="shared" si="17"/>
        <v>79212.72060150678</v>
      </c>
      <c r="E146" s="16">
        <f>SUM(B135:B146)</f>
        <v>674251.3280049833</v>
      </c>
    </row>
    <row r="147" spans="1:4" ht="12.75">
      <c r="A147" s="10">
        <f t="shared" si="16"/>
        <v>109</v>
      </c>
      <c r="B147" s="7">
        <f t="shared" si="10"/>
        <v>55464.18998031283</v>
      </c>
      <c r="C147" s="7">
        <f t="shared" si="11"/>
        <v>23748.530621193935</v>
      </c>
      <c r="D147" s="7">
        <f t="shared" si="17"/>
        <v>79212.72060150676</v>
      </c>
    </row>
    <row r="148" spans="1:4" ht="12.75">
      <c r="A148" s="10">
        <f t="shared" si="16"/>
        <v>110</v>
      </c>
      <c r="B148" s="7">
        <f t="shared" si="10"/>
        <v>55350.39493775294</v>
      </c>
      <c r="C148" s="7">
        <f t="shared" si="11"/>
        <v>23862.32566375382</v>
      </c>
      <c r="D148" s="7">
        <f t="shared" si="17"/>
        <v>79212.72060150676</v>
      </c>
    </row>
    <row r="149" spans="1:4" ht="12.75">
      <c r="A149" s="10">
        <f t="shared" si="16"/>
        <v>111</v>
      </c>
      <c r="B149" s="7">
        <f t="shared" si="10"/>
        <v>55236.0546272808</v>
      </c>
      <c r="C149" s="7">
        <f t="shared" si="11"/>
        <v>23976.665974225976</v>
      </c>
      <c r="D149" s="7">
        <f t="shared" si="17"/>
        <v>79212.72060150678</v>
      </c>
    </row>
    <row r="150" spans="1:4" ht="12.75">
      <c r="A150" s="10">
        <f t="shared" si="16"/>
        <v>112</v>
      </c>
      <c r="B150" s="7">
        <f t="shared" si="10"/>
        <v>55121.16643615429</v>
      </c>
      <c r="C150" s="7">
        <f t="shared" si="11"/>
        <v>24091.554165352478</v>
      </c>
      <c r="D150" s="7">
        <f t="shared" si="17"/>
        <v>79212.72060150676</v>
      </c>
    </row>
    <row r="151" spans="1:4" ht="12.75">
      <c r="A151" s="10">
        <f t="shared" si="16"/>
        <v>113</v>
      </c>
      <c r="B151" s="7">
        <f t="shared" si="10"/>
        <v>55005.72773911197</v>
      </c>
      <c r="C151" s="7">
        <f t="shared" si="11"/>
        <v>24206.99286239479</v>
      </c>
      <c r="D151" s="7">
        <f t="shared" si="17"/>
        <v>79212.72060150676</v>
      </c>
    </row>
    <row r="152" spans="1:4" ht="12.75">
      <c r="A152" s="10">
        <f t="shared" si="16"/>
        <v>114</v>
      </c>
      <c r="B152" s="7">
        <f t="shared" si="10"/>
        <v>54889.735898313</v>
      </c>
      <c r="C152" s="7">
        <f t="shared" si="11"/>
        <v>24322.984703193768</v>
      </c>
      <c r="D152" s="7">
        <f t="shared" si="17"/>
        <v>79212.72060150676</v>
      </c>
    </row>
    <row r="153" spans="1:4" ht="12.75">
      <c r="A153" s="10">
        <f aca="true" t="shared" si="18" ref="A153:A168">$A152+1</f>
        <v>115</v>
      </c>
      <c r="B153" s="7">
        <f t="shared" si="10"/>
        <v>54773.18826327686</v>
      </c>
      <c r="C153" s="7">
        <f t="shared" si="11"/>
        <v>24439.532338229903</v>
      </c>
      <c r="D153" s="7">
        <f aca="true" t="shared" si="19" ref="D153:D168">SUM(B153:C153)</f>
        <v>79212.72060150676</v>
      </c>
    </row>
    <row r="154" spans="1:4" ht="12.75">
      <c r="A154" s="10">
        <f t="shared" si="18"/>
        <v>116</v>
      </c>
      <c r="B154" s="7">
        <f t="shared" si="10"/>
        <v>54656.082170822854</v>
      </c>
      <c r="C154" s="7">
        <f t="shared" si="11"/>
        <v>24556.63843068392</v>
      </c>
      <c r="D154" s="7">
        <f t="shared" si="19"/>
        <v>79212.72060150678</v>
      </c>
    </row>
    <row r="155" spans="1:4" ht="12.75">
      <c r="A155" s="10">
        <f t="shared" si="18"/>
        <v>117</v>
      </c>
      <c r="B155" s="7">
        <f t="shared" si="10"/>
        <v>54538.41494500916</v>
      </c>
      <c r="C155" s="7">
        <f t="shared" si="11"/>
        <v>24674.305656497614</v>
      </c>
      <c r="D155" s="7">
        <f t="shared" si="19"/>
        <v>79212.72060150676</v>
      </c>
    </row>
    <row r="156" spans="1:4" ht="12.75">
      <c r="A156" s="10">
        <f t="shared" si="18"/>
        <v>118</v>
      </c>
      <c r="B156" s="7">
        <f t="shared" si="10"/>
        <v>54420.183897071765</v>
      </c>
      <c r="C156" s="7">
        <f t="shared" si="11"/>
        <v>24792.536704435002</v>
      </c>
      <c r="D156" s="7">
        <f t="shared" si="19"/>
        <v>79212.72060150676</v>
      </c>
    </row>
    <row r="157" spans="1:4" ht="12.75">
      <c r="A157" s="10">
        <f t="shared" si="18"/>
        <v>119</v>
      </c>
      <c r="B157" s="7">
        <f t="shared" si="10"/>
        <v>54301.38632536302</v>
      </c>
      <c r="C157" s="7">
        <f t="shared" si="11"/>
        <v>24911.33427614375</v>
      </c>
      <c r="D157" s="7">
        <f t="shared" si="19"/>
        <v>79212.72060150676</v>
      </c>
    </row>
    <row r="158" spans="1:5" ht="12.75">
      <c r="A158" s="10">
        <f t="shared" si="18"/>
        <v>120</v>
      </c>
      <c r="B158" s="7">
        <f t="shared" si="10"/>
        <v>54182.01951528984</v>
      </c>
      <c r="C158" s="7">
        <f t="shared" si="11"/>
        <v>25030.701086216937</v>
      </c>
      <c r="D158" s="7">
        <f t="shared" si="19"/>
        <v>79212.72060150678</v>
      </c>
      <c r="E158" s="16">
        <f>SUM(B147:B158)</f>
        <v>657938.5447357594</v>
      </c>
    </row>
    <row r="159" spans="1:4" ht="12.75">
      <c r="A159" s="10">
        <f t="shared" si="18"/>
        <v>121</v>
      </c>
      <c r="B159" s="7">
        <f t="shared" si="10"/>
        <v>54062.08073925171</v>
      </c>
      <c r="C159" s="7">
        <f t="shared" si="11"/>
        <v>25150.639862255066</v>
      </c>
      <c r="D159" s="7">
        <f t="shared" si="19"/>
        <v>79212.72060150678</v>
      </c>
    </row>
    <row r="160" spans="1:4" ht="12.75">
      <c r="A160" s="10">
        <f t="shared" si="18"/>
        <v>122</v>
      </c>
      <c r="B160" s="7">
        <f t="shared" si="10"/>
        <v>53941.567256578404</v>
      </c>
      <c r="C160" s="7">
        <f t="shared" si="11"/>
        <v>25271.153344928367</v>
      </c>
      <c r="D160" s="7">
        <f t="shared" si="19"/>
        <v>79212.72060150676</v>
      </c>
    </row>
    <row r="161" spans="1:4" ht="12.75">
      <c r="A161" s="10">
        <f t="shared" si="18"/>
        <v>123</v>
      </c>
      <c r="B161" s="7">
        <f t="shared" si="10"/>
        <v>53820.47631346729</v>
      </c>
      <c r="C161" s="7">
        <f t="shared" si="11"/>
        <v>25392.24428803948</v>
      </c>
      <c r="D161" s="7">
        <f t="shared" si="19"/>
        <v>79212.72060150676</v>
      </c>
    </row>
    <row r="162" spans="1:4" ht="12.75">
      <c r="A162" s="10">
        <f t="shared" si="18"/>
        <v>124</v>
      </c>
      <c r="B162" s="7">
        <f t="shared" si="10"/>
        <v>53698.80514292043</v>
      </c>
      <c r="C162" s="7">
        <f t="shared" si="11"/>
        <v>25513.915458586336</v>
      </c>
      <c r="D162" s="7">
        <f t="shared" si="19"/>
        <v>79212.72060150676</v>
      </c>
    </row>
    <row r="163" spans="1:4" ht="12.75">
      <c r="A163" s="10">
        <f t="shared" si="18"/>
        <v>125</v>
      </c>
      <c r="B163" s="7">
        <f t="shared" si="10"/>
        <v>53576.550964681366</v>
      </c>
      <c r="C163" s="7">
        <f t="shared" si="11"/>
        <v>25636.1696368254</v>
      </c>
      <c r="D163" s="7">
        <f t="shared" si="19"/>
        <v>79212.72060150676</v>
      </c>
    </row>
    <row r="164" spans="1:4" ht="12.75">
      <c r="A164" s="10">
        <f t="shared" si="18"/>
        <v>126</v>
      </c>
      <c r="B164" s="7">
        <f t="shared" si="10"/>
        <v>53453.710985171594</v>
      </c>
      <c r="C164" s="7">
        <f t="shared" si="11"/>
        <v>25759.00961633519</v>
      </c>
      <c r="D164" s="7">
        <f t="shared" si="19"/>
        <v>79212.72060150678</v>
      </c>
    </row>
    <row r="165" spans="1:4" ht="12.75">
      <c r="A165" s="10">
        <f t="shared" si="18"/>
        <v>127</v>
      </c>
      <c r="B165" s="7">
        <f t="shared" si="10"/>
        <v>53330.28239742664</v>
      </c>
      <c r="C165" s="7">
        <f t="shared" si="11"/>
        <v>25882.438204080125</v>
      </c>
      <c r="D165" s="7">
        <f t="shared" si="19"/>
        <v>79212.72060150676</v>
      </c>
    </row>
    <row r="166" spans="1:4" ht="12.75">
      <c r="A166" s="10">
        <f t="shared" si="18"/>
        <v>128</v>
      </c>
      <c r="B166" s="7">
        <f t="shared" si="10"/>
        <v>53206.26238103209</v>
      </c>
      <c r="C166" s="7">
        <f t="shared" si="11"/>
        <v>26006.45822047468</v>
      </c>
      <c r="D166" s="7">
        <f t="shared" si="19"/>
        <v>79212.72060150676</v>
      </c>
    </row>
    <row r="167" spans="1:4" ht="12.75">
      <c r="A167" s="10">
        <f t="shared" si="18"/>
        <v>129</v>
      </c>
      <c r="B167" s="7">
        <f t="shared" si="10"/>
        <v>53081.648102058985</v>
      </c>
      <c r="C167" s="7">
        <f t="shared" si="11"/>
        <v>26131.072499447786</v>
      </c>
      <c r="D167" s="7">
        <f t="shared" si="19"/>
        <v>79212.72060150676</v>
      </c>
    </row>
    <row r="168" spans="1:4" ht="12.75">
      <c r="A168" s="10">
        <f t="shared" si="18"/>
        <v>130</v>
      </c>
      <c r="B168" s="7">
        <f aca="true" t="shared" si="20" ref="B168:B231">IF($D$27+0.5&gt;$A168,-IPMT($D$30,$A168,$D$27,$D$17,0,0),0)</f>
        <v>52956.43671299913</v>
      </c>
      <c r="C168" s="7">
        <f aca="true" t="shared" si="21" ref="C168:C231">IF($D$27+0.5&gt;$A168,-PPMT($D$30,$A168,$D$27,$D$17,0,0),0)</f>
        <v>26256.283888507638</v>
      </c>
      <c r="D168" s="7">
        <f t="shared" si="19"/>
        <v>79212.72060150676</v>
      </c>
    </row>
    <row r="169" spans="1:4" ht="12.75">
      <c r="A169" s="10">
        <f aca="true" t="shared" si="22" ref="A169:A184">$A168+1</f>
        <v>131</v>
      </c>
      <c r="B169" s="7">
        <f t="shared" si="20"/>
        <v>52830.62535270004</v>
      </c>
      <c r="C169" s="7">
        <f t="shared" si="21"/>
        <v>26382.095248806738</v>
      </c>
      <c r="D169" s="7">
        <f aca="true" t="shared" si="23" ref="D169:D184">SUM(B169:C169)</f>
        <v>79212.72060150678</v>
      </c>
    </row>
    <row r="170" spans="1:5" ht="12.75">
      <c r="A170" s="10">
        <f t="shared" si="22"/>
        <v>132</v>
      </c>
      <c r="B170" s="7">
        <f t="shared" si="20"/>
        <v>52704.2111462995</v>
      </c>
      <c r="C170" s="7">
        <f t="shared" si="21"/>
        <v>26508.509455207273</v>
      </c>
      <c r="D170" s="7">
        <f t="shared" si="23"/>
        <v>79212.72060150678</v>
      </c>
      <c r="E170" s="16">
        <f>SUM(B159:B170)</f>
        <v>640662.6574945871</v>
      </c>
    </row>
    <row r="171" spans="1:4" ht="12.75">
      <c r="A171" s="10">
        <f t="shared" si="22"/>
        <v>133</v>
      </c>
      <c r="B171" s="7">
        <f t="shared" si="20"/>
        <v>52577.191205159965</v>
      </c>
      <c r="C171" s="7">
        <f t="shared" si="21"/>
        <v>26635.529396346807</v>
      </c>
      <c r="D171" s="7">
        <f t="shared" si="23"/>
        <v>79212.72060150676</v>
      </c>
    </row>
    <row r="172" spans="1:4" ht="12.75">
      <c r="A172" s="10">
        <f t="shared" si="22"/>
        <v>134</v>
      </c>
      <c r="B172" s="7">
        <f t="shared" si="20"/>
        <v>52449.56262680247</v>
      </c>
      <c r="C172" s="7">
        <f t="shared" si="21"/>
        <v>26763.157974704303</v>
      </c>
      <c r="D172" s="7">
        <f t="shared" si="23"/>
        <v>79212.72060150678</v>
      </c>
    </row>
    <row r="173" spans="1:4" ht="12.75">
      <c r="A173" s="10">
        <f t="shared" si="22"/>
        <v>135</v>
      </c>
      <c r="B173" s="7">
        <f t="shared" si="20"/>
        <v>52321.322494840344</v>
      </c>
      <c r="C173" s="7">
        <f t="shared" si="21"/>
        <v>26891.398106666424</v>
      </c>
      <c r="D173" s="7">
        <f t="shared" si="23"/>
        <v>79212.72060150676</v>
      </c>
    </row>
    <row r="174" spans="1:4" ht="12.75">
      <c r="A174" s="10">
        <f t="shared" si="22"/>
        <v>136</v>
      </c>
      <c r="B174" s="7">
        <f t="shared" si="20"/>
        <v>52192.46787891256</v>
      </c>
      <c r="C174" s="7">
        <f t="shared" si="21"/>
        <v>27020.2527225942</v>
      </c>
      <c r="D174" s="7">
        <f t="shared" si="23"/>
        <v>79212.72060150676</v>
      </c>
    </row>
    <row r="175" spans="1:4" ht="12.75">
      <c r="A175" s="10">
        <f t="shared" si="22"/>
        <v>137</v>
      </c>
      <c r="B175" s="7">
        <f t="shared" si="20"/>
        <v>52062.995834616806</v>
      </c>
      <c r="C175" s="7">
        <f t="shared" si="21"/>
        <v>27149.724766889973</v>
      </c>
      <c r="D175" s="7">
        <f t="shared" si="23"/>
        <v>79212.72060150678</v>
      </c>
    </row>
    <row r="176" spans="1:4" ht="12.75">
      <c r="A176" s="10">
        <f t="shared" si="22"/>
        <v>138</v>
      </c>
      <c r="B176" s="7">
        <f t="shared" si="20"/>
        <v>51932.90340344212</v>
      </c>
      <c r="C176" s="7">
        <f t="shared" si="21"/>
        <v>27279.817198064648</v>
      </c>
      <c r="D176" s="7">
        <f t="shared" si="23"/>
        <v>79212.72060150676</v>
      </c>
    </row>
    <row r="177" spans="1:4" ht="12.75">
      <c r="A177" s="10">
        <f t="shared" si="22"/>
        <v>139</v>
      </c>
      <c r="B177" s="7">
        <f t="shared" si="20"/>
        <v>51802.18761270139</v>
      </c>
      <c r="C177" s="7">
        <f t="shared" si="21"/>
        <v>27410.532988805375</v>
      </c>
      <c r="D177" s="7">
        <f t="shared" si="23"/>
        <v>79212.72060150676</v>
      </c>
    </row>
    <row r="178" spans="1:4" ht="12.75">
      <c r="A178" s="10">
        <f t="shared" si="22"/>
        <v>140</v>
      </c>
      <c r="B178" s="7">
        <f t="shared" si="20"/>
        <v>51670.845475463364</v>
      </c>
      <c r="C178" s="7">
        <f t="shared" si="21"/>
        <v>27541.8751260434</v>
      </c>
      <c r="D178" s="7">
        <f t="shared" si="23"/>
        <v>79212.72060150676</v>
      </c>
    </row>
    <row r="179" spans="1:4" ht="12.75">
      <c r="A179" s="10">
        <f t="shared" si="22"/>
        <v>141</v>
      </c>
      <c r="B179" s="7">
        <f t="shared" si="20"/>
        <v>51538.873990484404</v>
      </c>
      <c r="C179" s="7">
        <f t="shared" si="21"/>
        <v>27673.84661102236</v>
      </c>
      <c r="D179" s="7">
        <f t="shared" si="23"/>
        <v>79212.72060150676</v>
      </c>
    </row>
    <row r="180" spans="1:4" ht="12.75">
      <c r="A180" s="10">
        <f t="shared" si="22"/>
        <v>142</v>
      </c>
      <c r="B180" s="7">
        <f t="shared" si="20"/>
        <v>51406.270142139925</v>
      </c>
      <c r="C180" s="7">
        <f t="shared" si="21"/>
        <v>27806.450459366843</v>
      </c>
      <c r="D180" s="7">
        <f t="shared" si="23"/>
        <v>79212.72060150676</v>
      </c>
    </row>
    <row r="181" spans="1:4" ht="12.75">
      <c r="A181" s="10">
        <f t="shared" si="22"/>
        <v>143</v>
      </c>
      <c r="B181" s="7">
        <f t="shared" si="20"/>
        <v>51273.03090035546</v>
      </c>
      <c r="C181" s="7">
        <f t="shared" si="21"/>
        <v>27939.68970115131</v>
      </c>
      <c r="D181" s="7">
        <f t="shared" si="23"/>
        <v>79212.72060150676</v>
      </c>
    </row>
    <row r="182" spans="1:5" ht="12.75">
      <c r="A182" s="10">
        <f t="shared" si="22"/>
        <v>144</v>
      </c>
      <c r="B182" s="7">
        <f t="shared" si="20"/>
        <v>51139.15322053745</v>
      </c>
      <c r="C182" s="7">
        <f t="shared" si="21"/>
        <v>28073.567380969318</v>
      </c>
      <c r="D182" s="7">
        <f t="shared" si="23"/>
        <v>79212.72060150676</v>
      </c>
      <c r="E182" s="16">
        <f>SUM(B171:B182)</f>
        <v>622366.8047854563</v>
      </c>
    </row>
    <row r="183" spans="1:4" ht="12.75">
      <c r="A183" s="10">
        <f t="shared" si="22"/>
        <v>145</v>
      </c>
      <c r="B183" s="7">
        <f t="shared" si="20"/>
        <v>51004.63404350363</v>
      </c>
      <c r="C183" s="7">
        <f t="shared" si="21"/>
        <v>28208.08655800313</v>
      </c>
      <c r="D183" s="7">
        <f t="shared" si="23"/>
        <v>79212.72060150676</v>
      </c>
    </row>
    <row r="184" spans="1:4" ht="12.75">
      <c r="A184" s="10">
        <f t="shared" si="22"/>
        <v>146</v>
      </c>
      <c r="B184" s="7">
        <f t="shared" si="20"/>
        <v>50869.4702954132</v>
      </c>
      <c r="C184" s="7">
        <f t="shared" si="21"/>
        <v>28343.250306093567</v>
      </c>
      <c r="D184" s="7">
        <f t="shared" si="23"/>
        <v>79212.72060150676</v>
      </c>
    </row>
    <row r="185" spans="1:4" ht="12.75">
      <c r="A185" s="10">
        <f aca="true" t="shared" si="24" ref="A185:A200">$A184+1</f>
        <v>147</v>
      </c>
      <c r="B185" s="7">
        <f t="shared" si="20"/>
        <v>50733.6588876965</v>
      </c>
      <c r="C185" s="7">
        <f t="shared" si="21"/>
        <v>28479.061713810264</v>
      </c>
      <c r="D185" s="7">
        <f aca="true" t="shared" si="25" ref="D185:D200">SUM(B185:C185)</f>
        <v>79212.72060150676</v>
      </c>
    </row>
    <row r="186" spans="1:4" ht="12.75">
      <c r="A186" s="10">
        <f t="shared" si="24"/>
        <v>148</v>
      </c>
      <c r="B186" s="7">
        <f t="shared" si="20"/>
        <v>50597.1967169845</v>
      </c>
      <c r="C186" s="7">
        <f t="shared" si="21"/>
        <v>28615.52388452227</v>
      </c>
      <c r="D186" s="7">
        <f t="shared" si="25"/>
        <v>79212.72060150676</v>
      </c>
    </row>
    <row r="187" spans="1:4" ht="12.75">
      <c r="A187" s="10">
        <f t="shared" si="24"/>
        <v>149</v>
      </c>
      <c r="B187" s="7">
        <f t="shared" si="20"/>
        <v>50460.080665037836</v>
      </c>
      <c r="C187" s="7">
        <f t="shared" si="21"/>
        <v>28752.639936468942</v>
      </c>
      <c r="D187" s="7">
        <f t="shared" si="25"/>
        <v>79212.72060150678</v>
      </c>
    </row>
    <row r="188" spans="1:4" ht="12.75">
      <c r="A188" s="10">
        <f t="shared" si="24"/>
        <v>150</v>
      </c>
      <c r="B188" s="7">
        <f t="shared" si="20"/>
        <v>50322.307598675594</v>
      </c>
      <c r="C188" s="7">
        <f t="shared" si="21"/>
        <v>28890.41300283118</v>
      </c>
      <c r="D188" s="7">
        <f t="shared" si="25"/>
        <v>79212.72060150678</v>
      </c>
    </row>
    <row r="189" spans="1:4" ht="12.75">
      <c r="A189" s="10">
        <f t="shared" si="24"/>
        <v>151</v>
      </c>
      <c r="B189" s="7">
        <f t="shared" si="20"/>
        <v>50183.87436970369</v>
      </c>
      <c r="C189" s="7">
        <f t="shared" si="21"/>
        <v>29028.846231803083</v>
      </c>
      <c r="D189" s="7">
        <f t="shared" si="25"/>
        <v>79212.72060150678</v>
      </c>
    </row>
    <row r="190" spans="1:4" ht="12.75">
      <c r="A190" s="10">
        <f t="shared" si="24"/>
        <v>152</v>
      </c>
      <c r="B190" s="7">
        <f t="shared" si="20"/>
        <v>50044.77781484296</v>
      </c>
      <c r="C190" s="7">
        <f t="shared" si="21"/>
        <v>29167.942786663814</v>
      </c>
      <c r="D190" s="7">
        <f t="shared" si="25"/>
        <v>79212.72060150676</v>
      </c>
    </row>
    <row r="191" spans="1:4" ht="12.75">
      <c r="A191" s="10">
        <f t="shared" si="24"/>
        <v>153</v>
      </c>
      <c r="B191" s="7">
        <f t="shared" si="20"/>
        <v>49905.01475565686</v>
      </c>
      <c r="C191" s="7">
        <f t="shared" si="21"/>
        <v>29307.705845849905</v>
      </c>
      <c r="D191" s="7">
        <f t="shared" si="25"/>
        <v>79212.72060150676</v>
      </c>
    </row>
    <row r="192" spans="1:4" ht="12.75">
      <c r="A192" s="10">
        <f t="shared" si="24"/>
        <v>154</v>
      </c>
      <c r="B192" s="7">
        <f t="shared" si="20"/>
        <v>49764.58199847884</v>
      </c>
      <c r="C192" s="7">
        <f t="shared" si="21"/>
        <v>29448.13860302794</v>
      </c>
      <c r="D192" s="7">
        <f t="shared" si="25"/>
        <v>79212.72060150678</v>
      </c>
    </row>
    <row r="193" spans="1:4" ht="12.75">
      <c r="A193" s="10">
        <f t="shared" si="24"/>
        <v>155</v>
      </c>
      <c r="B193" s="7">
        <f t="shared" si="20"/>
        <v>49623.47633433932</v>
      </c>
      <c r="C193" s="7">
        <f t="shared" si="21"/>
        <v>29589.244267167447</v>
      </c>
      <c r="D193" s="7">
        <f t="shared" si="25"/>
        <v>79212.72060150676</v>
      </c>
    </row>
    <row r="194" spans="1:5" ht="12.75">
      <c r="A194" s="10">
        <f t="shared" si="24"/>
        <v>156</v>
      </c>
      <c r="B194" s="7">
        <f t="shared" si="20"/>
        <v>49481.69453889248</v>
      </c>
      <c r="C194" s="7">
        <f t="shared" si="21"/>
        <v>29731.026062614288</v>
      </c>
      <c r="D194" s="7">
        <f t="shared" si="25"/>
        <v>79212.72060150676</v>
      </c>
      <c r="E194" s="16">
        <f>SUM(B183:B194)</f>
        <v>602990.7680192254</v>
      </c>
    </row>
    <row r="195" spans="1:4" ht="12.75">
      <c r="A195" s="10">
        <f t="shared" si="24"/>
        <v>157</v>
      </c>
      <c r="B195" s="7">
        <f t="shared" si="20"/>
        <v>49339.23337234245</v>
      </c>
      <c r="C195" s="7">
        <f t="shared" si="21"/>
        <v>29873.487229164315</v>
      </c>
      <c r="D195" s="7">
        <f t="shared" si="25"/>
        <v>79212.72060150676</v>
      </c>
    </row>
    <row r="196" spans="1:4" ht="12.75">
      <c r="A196" s="10">
        <f t="shared" si="24"/>
        <v>158</v>
      </c>
      <c r="B196" s="7">
        <f t="shared" si="20"/>
        <v>49196.08957936937</v>
      </c>
      <c r="C196" s="7">
        <f t="shared" si="21"/>
        <v>30016.631022137397</v>
      </c>
      <c r="D196" s="7">
        <f t="shared" si="25"/>
        <v>79212.72060150676</v>
      </c>
    </row>
    <row r="197" spans="1:4" ht="12.75">
      <c r="A197" s="10">
        <f t="shared" si="24"/>
        <v>159</v>
      </c>
      <c r="B197" s="7">
        <f t="shared" si="20"/>
        <v>49052.25988905497</v>
      </c>
      <c r="C197" s="7">
        <f t="shared" si="21"/>
        <v>30160.460712451804</v>
      </c>
      <c r="D197" s="7">
        <f t="shared" si="25"/>
        <v>79212.72060150678</v>
      </c>
    </row>
    <row r="198" spans="1:4" ht="12.75">
      <c r="A198" s="10">
        <f t="shared" si="24"/>
        <v>160</v>
      </c>
      <c r="B198" s="7">
        <f t="shared" si="20"/>
        <v>48907.7410148078</v>
      </c>
      <c r="C198" s="7">
        <f t="shared" si="21"/>
        <v>30304.97958669897</v>
      </c>
      <c r="D198" s="7">
        <f t="shared" si="25"/>
        <v>79212.72060150676</v>
      </c>
    </row>
    <row r="199" spans="1:4" ht="12.75">
      <c r="A199" s="10">
        <f t="shared" si="24"/>
        <v>161</v>
      </c>
      <c r="B199" s="7">
        <f t="shared" si="20"/>
        <v>48762.5296542882</v>
      </c>
      <c r="C199" s="7">
        <f t="shared" si="21"/>
        <v>30450.19094721857</v>
      </c>
      <c r="D199" s="7">
        <f t="shared" si="25"/>
        <v>79212.72060150676</v>
      </c>
    </row>
    <row r="200" spans="1:4" ht="12.75">
      <c r="A200" s="10">
        <f t="shared" si="24"/>
        <v>162</v>
      </c>
      <c r="B200" s="7">
        <f t="shared" si="20"/>
        <v>48616.62248933278</v>
      </c>
      <c r="C200" s="7">
        <f t="shared" si="21"/>
        <v>30596.098112173993</v>
      </c>
      <c r="D200" s="7">
        <f t="shared" si="25"/>
        <v>79212.72060150678</v>
      </c>
    </row>
    <row r="201" spans="1:4" ht="12.75">
      <c r="A201" s="10">
        <f aca="true" t="shared" si="26" ref="A201:A216">$A200+1</f>
        <v>163</v>
      </c>
      <c r="B201" s="7">
        <f t="shared" si="20"/>
        <v>48470.01618587861</v>
      </c>
      <c r="C201" s="7">
        <f t="shared" si="21"/>
        <v>30742.704415628155</v>
      </c>
      <c r="D201" s="7">
        <f aca="true" t="shared" si="27" ref="D201:D216">SUM(B201:C201)</f>
        <v>79212.72060150676</v>
      </c>
    </row>
    <row r="202" spans="1:4" ht="12.75">
      <c r="A202" s="10">
        <f t="shared" si="26"/>
        <v>164</v>
      </c>
      <c r="B202" s="7">
        <f t="shared" si="20"/>
        <v>48322.70739388705</v>
      </c>
      <c r="C202" s="7">
        <f t="shared" si="21"/>
        <v>30890.01320761971</v>
      </c>
      <c r="D202" s="7">
        <f t="shared" si="27"/>
        <v>79212.72060150676</v>
      </c>
    </row>
    <row r="203" spans="1:4" ht="12.75">
      <c r="A203" s="10">
        <f t="shared" si="26"/>
        <v>165</v>
      </c>
      <c r="B203" s="7">
        <f t="shared" si="20"/>
        <v>48174.69274726722</v>
      </c>
      <c r="C203" s="7">
        <f t="shared" si="21"/>
        <v>31038.02785423955</v>
      </c>
      <c r="D203" s="7">
        <f t="shared" si="27"/>
        <v>79212.72060150676</v>
      </c>
    </row>
    <row r="204" spans="1:4" ht="12.75">
      <c r="A204" s="10">
        <f t="shared" si="26"/>
        <v>166</v>
      </c>
      <c r="B204" s="7">
        <f t="shared" si="20"/>
        <v>48025.96886379899</v>
      </c>
      <c r="C204" s="7">
        <f t="shared" si="21"/>
        <v>31186.751737707782</v>
      </c>
      <c r="D204" s="7">
        <f t="shared" si="27"/>
        <v>79212.72060150676</v>
      </c>
    </row>
    <row r="205" spans="1:4" ht="12.75">
      <c r="A205" s="10">
        <f t="shared" si="26"/>
        <v>167</v>
      </c>
      <c r="B205" s="7">
        <f t="shared" si="20"/>
        <v>47876.5323450558</v>
      </c>
      <c r="C205" s="7">
        <f t="shared" si="21"/>
        <v>31336.188256450972</v>
      </c>
      <c r="D205" s="7">
        <f t="shared" si="27"/>
        <v>79212.72060150676</v>
      </c>
    </row>
    <row r="206" spans="1:5" ht="12.75">
      <c r="A206" s="10">
        <f t="shared" si="26"/>
        <v>168</v>
      </c>
      <c r="B206" s="7">
        <f t="shared" si="20"/>
        <v>47726.37977632697</v>
      </c>
      <c r="C206" s="7">
        <f t="shared" si="21"/>
        <v>31486.340825179796</v>
      </c>
      <c r="D206" s="7">
        <f t="shared" si="27"/>
        <v>79212.72060150676</v>
      </c>
      <c r="E206" s="16">
        <f>SUM(B195:B206)</f>
        <v>582470.7733114102</v>
      </c>
    </row>
    <row r="207" spans="1:4" ht="12.75">
      <c r="A207" s="10">
        <f t="shared" si="26"/>
        <v>169</v>
      </c>
      <c r="B207" s="7">
        <f t="shared" si="20"/>
        <v>47575.50772653966</v>
      </c>
      <c r="C207" s="7">
        <f t="shared" si="21"/>
        <v>31637.212874967114</v>
      </c>
      <c r="D207" s="7">
        <f t="shared" si="27"/>
        <v>79212.72060150678</v>
      </c>
    </row>
    <row r="208" spans="1:4" ht="12.75">
      <c r="A208" s="10">
        <f t="shared" si="26"/>
        <v>170</v>
      </c>
      <c r="B208" s="7">
        <f t="shared" si="20"/>
        <v>47423.91274818043</v>
      </c>
      <c r="C208" s="7">
        <f t="shared" si="21"/>
        <v>31788.807853326332</v>
      </c>
      <c r="D208" s="7">
        <f t="shared" si="27"/>
        <v>79212.72060150676</v>
      </c>
    </row>
    <row r="209" spans="1:4" ht="12.75">
      <c r="A209" s="10">
        <f t="shared" si="26"/>
        <v>171</v>
      </c>
      <c r="B209" s="7">
        <f t="shared" si="20"/>
        <v>47271.59137721659</v>
      </c>
      <c r="C209" s="7">
        <f t="shared" si="21"/>
        <v>31941.129224290187</v>
      </c>
      <c r="D209" s="7">
        <f t="shared" si="27"/>
        <v>79212.72060150678</v>
      </c>
    </row>
    <row r="210" spans="1:4" ht="12.75">
      <c r="A210" s="10">
        <f t="shared" si="26"/>
        <v>172</v>
      </c>
      <c r="B210" s="7">
        <f t="shared" si="20"/>
        <v>47118.54013301686</v>
      </c>
      <c r="C210" s="7">
        <f t="shared" si="21"/>
        <v>32094.180468489918</v>
      </c>
      <c r="D210" s="7">
        <f t="shared" si="27"/>
        <v>79212.72060150678</v>
      </c>
    </row>
    <row r="211" spans="1:4" ht="12.75">
      <c r="A211" s="10">
        <f t="shared" si="26"/>
        <v>173</v>
      </c>
      <c r="B211" s="7">
        <f t="shared" si="20"/>
        <v>46964.75551827201</v>
      </c>
      <c r="C211" s="7">
        <f t="shared" si="21"/>
        <v>32247.96508323476</v>
      </c>
      <c r="D211" s="7">
        <f t="shared" si="27"/>
        <v>79212.72060150676</v>
      </c>
    </row>
    <row r="212" spans="1:4" ht="12.75">
      <c r="A212" s="10">
        <f t="shared" si="26"/>
        <v>174</v>
      </c>
      <c r="B212" s="7">
        <f t="shared" si="20"/>
        <v>46810.234018914845</v>
      </c>
      <c r="C212" s="7">
        <f t="shared" si="21"/>
        <v>32402.48658259193</v>
      </c>
      <c r="D212" s="7">
        <f t="shared" si="27"/>
        <v>79212.72060150678</v>
      </c>
    </row>
    <row r="213" spans="1:4" ht="12.75">
      <c r="A213" s="10">
        <f t="shared" si="26"/>
        <v>175</v>
      </c>
      <c r="B213" s="7">
        <f t="shared" si="20"/>
        <v>46654.97210403992</v>
      </c>
      <c r="C213" s="7">
        <f t="shared" si="21"/>
        <v>32557.74849746685</v>
      </c>
      <c r="D213" s="7">
        <f t="shared" si="27"/>
        <v>79212.72060150678</v>
      </c>
    </row>
    <row r="214" spans="1:4" ht="12.75">
      <c r="A214" s="10">
        <f t="shared" si="26"/>
        <v>176</v>
      </c>
      <c r="B214" s="7">
        <f t="shared" si="20"/>
        <v>46498.966225822885</v>
      </c>
      <c r="C214" s="7">
        <f t="shared" si="21"/>
        <v>32713.75437568388</v>
      </c>
      <c r="D214" s="7">
        <f t="shared" si="27"/>
        <v>79212.72060150676</v>
      </c>
    </row>
    <row r="215" spans="1:4" ht="12.75">
      <c r="A215" s="10">
        <f t="shared" si="26"/>
        <v>177</v>
      </c>
      <c r="B215" s="7">
        <f t="shared" si="20"/>
        <v>46342.21281943942</v>
      </c>
      <c r="C215" s="7">
        <f t="shared" si="21"/>
        <v>32870.50778206736</v>
      </c>
      <c r="D215" s="7">
        <f t="shared" si="27"/>
        <v>79212.72060150678</v>
      </c>
    </row>
    <row r="216" spans="1:4" ht="12.75">
      <c r="A216" s="10">
        <f t="shared" si="26"/>
        <v>178</v>
      </c>
      <c r="B216" s="7">
        <f t="shared" si="20"/>
        <v>46184.70830298368</v>
      </c>
      <c r="C216" s="7">
        <f t="shared" si="21"/>
        <v>33028.0122985231</v>
      </c>
      <c r="D216" s="7">
        <f t="shared" si="27"/>
        <v>79212.72060150678</v>
      </c>
    </row>
    <row r="217" spans="1:4" ht="12.75">
      <c r="A217" s="10">
        <f aca="true" t="shared" si="28" ref="A217:A232">$A216+1</f>
        <v>179</v>
      </c>
      <c r="B217" s="7">
        <f t="shared" si="20"/>
        <v>46026.449077386584</v>
      </c>
      <c r="C217" s="7">
        <f t="shared" si="21"/>
        <v>33186.27152412019</v>
      </c>
      <c r="D217" s="7">
        <f aca="true" t="shared" si="29" ref="D217:D232">SUM(B217:C217)</f>
        <v>79212.72060150676</v>
      </c>
    </row>
    <row r="218" spans="1:5" ht="12.75">
      <c r="A218" s="10">
        <f t="shared" si="28"/>
        <v>180</v>
      </c>
      <c r="B218" s="7">
        <f t="shared" si="20"/>
        <v>45867.431526333494</v>
      </c>
      <c r="C218" s="7">
        <f t="shared" si="21"/>
        <v>33345.28907517326</v>
      </c>
      <c r="D218" s="7">
        <f t="shared" si="29"/>
        <v>79212.72060150676</v>
      </c>
      <c r="E218" s="16">
        <f>SUM(B207:B218)</f>
        <v>560739.2815781464</v>
      </c>
    </row>
    <row r="219" spans="1:4" ht="12.75">
      <c r="A219" s="10">
        <f t="shared" si="28"/>
        <v>181</v>
      </c>
      <c r="B219" s="7">
        <f t="shared" si="20"/>
        <v>45707.65201618163</v>
      </c>
      <c r="C219" s="7">
        <f t="shared" si="21"/>
        <v>33505.06858532514</v>
      </c>
      <c r="D219" s="7">
        <f t="shared" si="29"/>
        <v>79212.72060150676</v>
      </c>
    </row>
    <row r="220" spans="1:4" ht="12.75">
      <c r="A220" s="10">
        <f t="shared" si="28"/>
        <v>182</v>
      </c>
      <c r="B220" s="7">
        <f t="shared" si="20"/>
        <v>45547.10689587695</v>
      </c>
      <c r="C220" s="7">
        <f t="shared" si="21"/>
        <v>33665.61370562982</v>
      </c>
      <c r="D220" s="7">
        <f t="shared" si="29"/>
        <v>79212.72060150676</v>
      </c>
    </row>
    <row r="221" spans="1:4" ht="12.75">
      <c r="A221" s="10">
        <f t="shared" si="28"/>
        <v>183</v>
      </c>
      <c r="B221" s="7">
        <f t="shared" si="20"/>
        <v>45385.79249687081</v>
      </c>
      <c r="C221" s="7">
        <f t="shared" si="21"/>
        <v>33826.92810463596</v>
      </c>
      <c r="D221" s="7">
        <f t="shared" si="29"/>
        <v>79212.72060150676</v>
      </c>
    </row>
    <row r="222" spans="1:4" ht="12.75">
      <c r="A222" s="10">
        <f t="shared" si="28"/>
        <v>184</v>
      </c>
      <c r="B222" s="7">
        <f t="shared" si="20"/>
        <v>45223.7051330361</v>
      </c>
      <c r="C222" s="7">
        <f t="shared" si="21"/>
        <v>33989.01546847068</v>
      </c>
      <c r="D222" s="7">
        <f t="shared" si="29"/>
        <v>79212.72060150678</v>
      </c>
    </row>
    <row r="223" spans="1:4" ht="12.75">
      <c r="A223" s="10">
        <f t="shared" si="28"/>
        <v>185</v>
      </c>
      <c r="B223" s="7">
        <f t="shared" si="20"/>
        <v>45060.841100583</v>
      </c>
      <c r="C223" s="7">
        <f t="shared" si="21"/>
        <v>34151.879500923766</v>
      </c>
      <c r="D223" s="7">
        <f t="shared" si="29"/>
        <v>79212.72060150676</v>
      </c>
    </row>
    <row r="224" spans="1:4" ht="12.75">
      <c r="A224" s="10">
        <f t="shared" si="28"/>
        <v>186</v>
      </c>
      <c r="B224" s="7">
        <f t="shared" si="20"/>
        <v>44897.19667797442</v>
      </c>
      <c r="C224" s="7">
        <f t="shared" si="21"/>
        <v>34315.52392353236</v>
      </c>
      <c r="D224" s="7">
        <f t="shared" si="29"/>
        <v>79212.72060150678</v>
      </c>
    </row>
    <row r="225" spans="1:4" ht="12.75">
      <c r="A225" s="10">
        <f t="shared" si="28"/>
        <v>187</v>
      </c>
      <c r="B225" s="7">
        <f t="shared" si="20"/>
        <v>44732.76812584082</v>
      </c>
      <c r="C225" s="7">
        <f t="shared" si="21"/>
        <v>34479.95247566595</v>
      </c>
      <c r="D225" s="7">
        <f t="shared" si="29"/>
        <v>79212.72060150676</v>
      </c>
    </row>
    <row r="226" spans="1:4" ht="12.75">
      <c r="A226" s="10">
        <f t="shared" si="28"/>
        <v>188</v>
      </c>
      <c r="B226" s="7">
        <f t="shared" si="20"/>
        <v>44567.55168689491</v>
      </c>
      <c r="C226" s="7">
        <f t="shared" si="21"/>
        <v>34645.16891461185</v>
      </c>
      <c r="D226" s="7">
        <f t="shared" si="29"/>
        <v>79212.72060150676</v>
      </c>
    </row>
    <row r="227" spans="1:4" ht="12.75">
      <c r="A227" s="10">
        <f t="shared" si="28"/>
        <v>189</v>
      </c>
      <c r="B227" s="7">
        <f t="shared" si="20"/>
        <v>44401.543585845735</v>
      </c>
      <c r="C227" s="7">
        <f t="shared" si="21"/>
        <v>34811.17701566104</v>
      </c>
      <c r="D227" s="7">
        <f t="shared" si="29"/>
        <v>79212.72060150676</v>
      </c>
    </row>
    <row r="228" spans="1:4" ht="12.75">
      <c r="A228" s="10">
        <f t="shared" si="28"/>
        <v>190</v>
      </c>
      <c r="B228" s="7">
        <f t="shared" si="20"/>
        <v>44234.74002931236</v>
      </c>
      <c r="C228" s="7">
        <f t="shared" si="21"/>
        <v>34977.980572194414</v>
      </c>
      <c r="D228" s="7">
        <f t="shared" si="29"/>
        <v>79212.72060150676</v>
      </c>
    </row>
    <row r="229" spans="1:4" ht="12.75">
      <c r="A229" s="10">
        <f t="shared" si="28"/>
        <v>191</v>
      </c>
      <c r="B229" s="7">
        <f t="shared" si="20"/>
        <v>44067.137205737265</v>
      </c>
      <c r="C229" s="7">
        <f t="shared" si="21"/>
        <v>35145.58339576951</v>
      </c>
      <c r="D229" s="7">
        <f t="shared" si="29"/>
        <v>79212.72060150676</v>
      </c>
    </row>
    <row r="230" spans="1:5" ht="12.75">
      <c r="A230" s="10">
        <f t="shared" si="28"/>
        <v>192</v>
      </c>
      <c r="B230" s="7">
        <f t="shared" si="20"/>
        <v>43898.731285299196</v>
      </c>
      <c r="C230" s="7">
        <f t="shared" si="21"/>
        <v>35313.98931620757</v>
      </c>
      <c r="D230" s="7">
        <f t="shared" si="29"/>
        <v>79212.72060150676</v>
      </c>
      <c r="E230" s="16">
        <f>SUM(B219:B230)</f>
        <v>537724.7662394532</v>
      </c>
    </row>
    <row r="231" spans="1:4" ht="12.75">
      <c r="A231" s="10">
        <f t="shared" si="28"/>
        <v>193</v>
      </c>
      <c r="B231" s="7">
        <f t="shared" si="20"/>
        <v>43729.518419825705</v>
      </c>
      <c r="C231" s="7">
        <f t="shared" si="21"/>
        <v>35483.20218168107</v>
      </c>
      <c r="D231" s="7">
        <f t="shared" si="29"/>
        <v>79212.72060150676</v>
      </c>
    </row>
    <row r="232" spans="1:4" ht="12.75">
      <c r="A232" s="10">
        <f t="shared" si="28"/>
        <v>194</v>
      </c>
      <c r="B232" s="7">
        <f aca="true" t="shared" si="30" ref="B232:B295">IF($D$27+0.5&gt;$A232,-IPMT($D$30,$A232,$D$27,$D$17,0,0),0)</f>
        <v>43559.49474270515</v>
      </c>
      <c r="C232" s="7">
        <f aca="true" t="shared" si="31" ref="C232:C295">IF($D$27+0.5&gt;$A232,-PPMT($D$30,$A232,$D$27,$D$17,0,0),0)</f>
        <v>35653.22585880162</v>
      </c>
      <c r="D232" s="7">
        <f t="shared" si="29"/>
        <v>79212.72060150676</v>
      </c>
    </row>
    <row r="233" spans="1:4" ht="12.75">
      <c r="A233" s="10">
        <f aca="true" t="shared" si="32" ref="A233:A248">$A232+1</f>
        <v>195</v>
      </c>
      <c r="B233" s="7">
        <f t="shared" si="30"/>
        <v>43388.656368798394</v>
      </c>
      <c r="C233" s="7">
        <f t="shared" si="31"/>
        <v>35824.06423270838</v>
      </c>
      <c r="D233" s="7">
        <f aca="true" t="shared" si="33" ref="D233:D248">SUM(B233:C233)</f>
        <v>79212.72060150676</v>
      </c>
    </row>
    <row r="234" spans="1:4" ht="12.75">
      <c r="A234" s="10">
        <f t="shared" si="32"/>
        <v>196</v>
      </c>
      <c r="B234" s="7">
        <f t="shared" si="30"/>
        <v>43216.999394349994</v>
      </c>
      <c r="C234" s="7">
        <f t="shared" si="31"/>
        <v>35995.72120715677</v>
      </c>
      <c r="D234" s="7">
        <f t="shared" si="33"/>
        <v>79212.72060150676</v>
      </c>
    </row>
    <row r="235" spans="1:4" ht="12.75">
      <c r="A235" s="10">
        <f t="shared" si="32"/>
        <v>197</v>
      </c>
      <c r="B235" s="7">
        <f t="shared" si="30"/>
        <v>43044.519896899044</v>
      </c>
      <c r="C235" s="7">
        <f t="shared" si="31"/>
        <v>36168.20070460773</v>
      </c>
      <c r="D235" s="7">
        <f t="shared" si="33"/>
        <v>79212.72060150676</v>
      </c>
    </row>
    <row r="236" spans="1:4" ht="12.75">
      <c r="A236" s="10">
        <f t="shared" si="32"/>
        <v>198</v>
      </c>
      <c r="B236" s="7">
        <f t="shared" si="30"/>
        <v>42871.21393518945</v>
      </c>
      <c r="C236" s="7">
        <f t="shared" si="31"/>
        <v>36341.50666631731</v>
      </c>
      <c r="D236" s="7">
        <f t="shared" si="33"/>
        <v>79212.72060150676</v>
      </c>
    </row>
    <row r="237" spans="1:4" ht="12.75">
      <c r="A237" s="10">
        <f t="shared" si="32"/>
        <v>199</v>
      </c>
      <c r="B237" s="7">
        <f t="shared" si="30"/>
        <v>42697.07754908002</v>
      </c>
      <c r="C237" s="7">
        <f t="shared" si="31"/>
        <v>36515.64305242674</v>
      </c>
      <c r="D237" s="7">
        <f t="shared" si="33"/>
        <v>79212.72060150676</v>
      </c>
    </row>
    <row r="238" spans="1:4" ht="12.75">
      <c r="A238" s="10">
        <f t="shared" si="32"/>
        <v>200</v>
      </c>
      <c r="B238" s="7">
        <f t="shared" si="30"/>
        <v>42522.10675945381</v>
      </c>
      <c r="C238" s="7">
        <f t="shared" si="31"/>
        <v>36690.61384205296</v>
      </c>
      <c r="D238" s="7">
        <f t="shared" si="33"/>
        <v>79212.72060150676</v>
      </c>
    </row>
    <row r="239" spans="1:4" ht="12.75">
      <c r="A239" s="10">
        <f t="shared" si="32"/>
        <v>201</v>
      </c>
      <c r="B239" s="7">
        <f t="shared" si="30"/>
        <v>42346.29756812731</v>
      </c>
      <c r="C239" s="7">
        <f t="shared" si="31"/>
        <v>36866.42303337946</v>
      </c>
      <c r="D239" s="7">
        <f t="shared" si="33"/>
        <v>79212.72060150676</v>
      </c>
    </row>
    <row r="240" spans="1:4" ht="12.75">
      <c r="A240" s="10">
        <f t="shared" si="32"/>
        <v>202</v>
      </c>
      <c r="B240" s="7">
        <f t="shared" si="30"/>
        <v>42169.64595775902</v>
      </c>
      <c r="C240" s="7">
        <f t="shared" si="31"/>
        <v>37043.074643747736</v>
      </c>
      <c r="D240" s="7">
        <f t="shared" si="33"/>
        <v>79212.72060150676</v>
      </c>
    </row>
    <row r="241" spans="1:4" ht="12.75">
      <c r="A241" s="10">
        <f t="shared" si="32"/>
        <v>203</v>
      </c>
      <c r="B241" s="7">
        <f t="shared" si="30"/>
        <v>41992.14789175774</v>
      </c>
      <c r="C241" s="7">
        <f t="shared" si="31"/>
        <v>37220.57270974903</v>
      </c>
      <c r="D241" s="7">
        <f t="shared" si="33"/>
        <v>79212.72060150676</v>
      </c>
    </row>
    <row r="242" spans="1:5" ht="12.75">
      <c r="A242" s="10">
        <f t="shared" si="32"/>
        <v>204</v>
      </c>
      <c r="B242" s="7">
        <f t="shared" si="30"/>
        <v>41813.7993141902</v>
      </c>
      <c r="C242" s="7">
        <f t="shared" si="31"/>
        <v>37398.92128731658</v>
      </c>
      <c r="D242" s="7">
        <f t="shared" si="33"/>
        <v>79212.72060150678</v>
      </c>
      <c r="E242" s="16">
        <f>SUM(B231:B242)</f>
        <v>513351.47779813583</v>
      </c>
    </row>
    <row r="243" spans="1:4" ht="12.75">
      <c r="A243" s="10">
        <f t="shared" si="32"/>
        <v>205</v>
      </c>
      <c r="B243" s="7">
        <f t="shared" si="30"/>
        <v>41634.59614968847</v>
      </c>
      <c r="C243" s="7">
        <f t="shared" si="31"/>
        <v>37578.1244518183</v>
      </c>
      <c r="D243" s="7">
        <f t="shared" si="33"/>
        <v>79212.72060150676</v>
      </c>
    </row>
    <row r="244" spans="1:4" ht="12.75">
      <c r="A244" s="10">
        <f t="shared" si="32"/>
        <v>206</v>
      </c>
      <c r="B244" s="7">
        <f t="shared" si="30"/>
        <v>41454.534303356835</v>
      </c>
      <c r="C244" s="7">
        <f t="shared" si="31"/>
        <v>37758.186298149936</v>
      </c>
      <c r="D244" s="7">
        <f t="shared" si="33"/>
        <v>79212.72060150676</v>
      </c>
    </row>
    <row r="245" spans="1:4" ht="12.75">
      <c r="A245" s="10">
        <f t="shared" si="32"/>
        <v>207</v>
      </c>
      <c r="B245" s="7">
        <f t="shared" si="30"/>
        <v>41273.6096606782</v>
      </c>
      <c r="C245" s="7">
        <f t="shared" si="31"/>
        <v>37939.11094082857</v>
      </c>
      <c r="D245" s="7">
        <f t="shared" si="33"/>
        <v>79212.72060150676</v>
      </c>
    </row>
    <row r="246" spans="1:4" ht="12.75">
      <c r="A246" s="10">
        <f t="shared" si="32"/>
        <v>208</v>
      </c>
      <c r="B246" s="7">
        <f t="shared" si="30"/>
        <v>41091.81808742006</v>
      </c>
      <c r="C246" s="7">
        <f t="shared" si="31"/>
        <v>38120.9025140867</v>
      </c>
      <c r="D246" s="7">
        <f t="shared" si="33"/>
        <v>79212.72060150676</v>
      </c>
    </row>
    <row r="247" spans="1:4" ht="12.75">
      <c r="A247" s="10">
        <f t="shared" si="32"/>
        <v>209</v>
      </c>
      <c r="B247" s="7">
        <f t="shared" si="30"/>
        <v>40909.155429540064</v>
      </c>
      <c r="C247" s="7">
        <f t="shared" si="31"/>
        <v>38303.56517196671</v>
      </c>
      <c r="D247" s="7">
        <f t="shared" si="33"/>
        <v>79212.72060150676</v>
      </c>
    </row>
    <row r="248" spans="1:4" ht="12.75">
      <c r="A248" s="10">
        <f t="shared" si="32"/>
        <v>210</v>
      </c>
      <c r="B248" s="7">
        <f t="shared" si="30"/>
        <v>40725.617513091056</v>
      </c>
      <c r="C248" s="7">
        <f t="shared" si="31"/>
        <v>38487.10308841571</v>
      </c>
      <c r="D248" s="7">
        <f t="shared" si="33"/>
        <v>79212.72060150676</v>
      </c>
    </row>
    <row r="249" spans="1:4" ht="12.75">
      <c r="A249" s="10">
        <f aca="true" t="shared" si="34" ref="A249:A264">$A248+1</f>
        <v>211</v>
      </c>
      <c r="B249" s="7">
        <f t="shared" si="30"/>
        <v>40541.20014412574</v>
      </c>
      <c r="C249" s="7">
        <f t="shared" si="31"/>
        <v>38671.52045738103</v>
      </c>
      <c r="D249" s="7">
        <f aca="true" t="shared" si="35" ref="D249:D264">SUM(B249:C249)</f>
        <v>79212.72060150676</v>
      </c>
    </row>
    <row r="250" spans="1:4" ht="12.75">
      <c r="A250" s="10">
        <f t="shared" si="34"/>
        <v>212</v>
      </c>
      <c r="B250" s="7">
        <f t="shared" si="30"/>
        <v>40355.89910860078</v>
      </c>
      <c r="C250" s="7">
        <f t="shared" si="31"/>
        <v>38856.82149290599</v>
      </c>
      <c r="D250" s="7">
        <f t="shared" si="35"/>
        <v>79212.72060150676</v>
      </c>
    </row>
    <row r="251" spans="1:4" ht="12.75">
      <c r="A251" s="10">
        <f t="shared" si="34"/>
        <v>213</v>
      </c>
      <c r="B251" s="7">
        <f t="shared" si="30"/>
        <v>40169.710172280604</v>
      </c>
      <c r="C251" s="7">
        <f t="shared" si="31"/>
        <v>39043.01042922616</v>
      </c>
      <c r="D251" s="7">
        <f t="shared" si="35"/>
        <v>79212.72060150676</v>
      </c>
    </row>
    <row r="252" spans="1:4" ht="12.75">
      <c r="A252" s="10">
        <f t="shared" si="34"/>
        <v>214</v>
      </c>
      <c r="B252" s="7">
        <f t="shared" si="30"/>
        <v>39982.62908064057</v>
      </c>
      <c r="C252" s="7">
        <f t="shared" si="31"/>
        <v>39230.091520866205</v>
      </c>
      <c r="D252" s="7">
        <f t="shared" si="35"/>
        <v>79212.72060150676</v>
      </c>
    </row>
    <row r="253" spans="1:4" ht="12.75">
      <c r="A253" s="10">
        <f t="shared" si="34"/>
        <v>215</v>
      </c>
      <c r="B253" s="7">
        <f t="shared" si="30"/>
        <v>39794.65155876974</v>
      </c>
      <c r="C253" s="7">
        <f t="shared" si="31"/>
        <v>39418.06904273702</v>
      </c>
      <c r="D253" s="7">
        <f t="shared" si="35"/>
        <v>79212.72060150676</v>
      </c>
    </row>
    <row r="254" spans="1:5" ht="12.75">
      <c r="A254" s="10">
        <f t="shared" si="34"/>
        <v>216</v>
      </c>
      <c r="B254" s="7">
        <f t="shared" si="30"/>
        <v>39605.77331127331</v>
      </c>
      <c r="C254" s="7">
        <f t="shared" si="31"/>
        <v>39606.94729023347</v>
      </c>
      <c r="D254" s="7">
        <f t="shared" si="35"/>
        <v>79212.72060150678</v>
      </c>
      <c r="E254" s="16">
        <f>SUM(B243:B254)</f>
        <v>487539.19451946544</v>
      </c>
    </row>
    <row r="255" spans="1:4" ht="12.75">
      <c r="A255" s="10">
        <f t="shared" si="34"/>
        <v>217</v>
      </c>
      <c r="B255" s="7">
        <f t="shared" si="30"/>
        <v>39415.990022174265</v>
      </c>
      <c r="C255" s="7">
        <f t="shared" si="31"/>
        <v>39796.73057933251</v>
      </c>
      <c r="D255" s="7">
        <f t="shared" si="35"/>
        <v>79212.72060150676</v>
      </c>
    </row>
    <row r="256" spans="1:4" ht="12.75">
      <c r="A256" s="10">
        <f t="shared" si="34"/>
        <v>218</v>
      </c>
      <c r="B256" s="7">
        <f t="shared" si="30"/>
        <v>39225.29735481496</v>
      </c>
      <c r="C256" s="7">
        <f t="shared" si="31"/>
        <v>39987.423246691804</v>
      </c>
      <c r="D256" s="7">
        <f t="shared" si="35"/>
        <v>79212.72060150676</v>
      </c>
    </row>
    <row r="257" spans="1:4" ht="12.75">
      <c r="A257" s="10">
        <f t="shared" si="34"/>
        <v>219</v>
      </c>
      <c r="B257" s="7">
        <f t="shared" si="30"/>
        <v>39033.6909517579</v>
      </c>
      <c r="C257" s="7">
        <f t="shared" si="31"/>
        <v>40179.02964974887</v>
      </c>
      <c r="D257" s="7">
        <f t="shared" si="35"/>
        <v>79212.72060150676</v>
      </c>
    </row>
    <row r="258" spans="1:4" ht="12.75">
      <c r="A258" s="10">
        <f t="shared" si="34"/>
        <v>220</v>
      </c>
      <c r="B258" s="7">
        <f t="shared" si="30"/>
        <v>38841.16643468619</v>
      </c>
      <c r="C258" s="7">
        <f t="shared" si="31"/>
        <v>40371.55416682058</v>
      </c>
      <c r="D258" s="7">
        <f t="shared" si="35"/>
        <v>79212.72060150676</v>
      </c>
    </row>
    <row r="259" spans="1:4" ht="12.75">
      <c r="A259" s="10">
        <f t="shared" si="34"/>
        <v>221</v>
      </c>
      <c r="B259" s="7">
        <f t="shared" si="30"/>
        <v>38647.719404303505</v>
      </c>
      <c r="C259" s="7">
        <f t="shared" si="31"/>
        <v>40565.001197203266</v>
      </c>
      <c r="D259" s="7">
        <f t="shared" si="35"/>
        <v>79212.72060150676</v>
      </c>
    </row>
    <row r="260" spans="1:4" ht="12.75">
      <c r="A260" s="10">
        <f t="shared" si="34"/>
        <v>222</v>
      </c>
      <c r="B260" s="7">
        <f t="shared" si="30"/>
        <v>38453.34544023357</v>
      </c>
      <c r="C260" s="7">
        <f t="shared" si="31"/>
        <v>40759.375161273194</v>
      </c>
      <c r="D260" s="7">
        <f t="shared" si="35"/>
        <v>79212.72060150676</v>
      </c>
    </row>
    <row r="261" spans="1:4" ht="12.75">
      <c r="A261" s="10">
        <f t="shared" si="34"/>
        <v>223</v>
      </c>
      <c r="B261" s="7">
        <f t="shared" si="30"/>
        <v>38258.04010091914</v>
      </c>
      <c r="C261" s="7">
        <f t="shared" si="31"/>
        <v>40954.68050058763</v>
      </c>
      <c r="D261" s="7">
        <f t="shared" si="35"/>
        <v>79212.72060150676</v>
      </c>
    </row>
    <row r="262" spans="1:4" ht="12.75">
      <c r="A262" s="10">
        <f t="shared" si="34"/>
        <v>224</v>
      </c>
      <c r="B262" s="7">
        <f t="shared" si="30"/>
        <v>38061.79892352049</v>
      </c>
      <c r="C262" s="7">
        <f t="shared" si="31"/>
        <v>41150.92167798628</v>
      </c>
      <c r="D262" s="7">
        <f t="shared" si="35"/>
        <v>79212.72060150676</v>
      </c>
    </row>
    <row r="263" spans="1:4" ht="12.75">
      <c r="A263" s="10">
        <f t="shared" si="34"/>
        <v>225</v>
      </c>
      <c r="B263" s="7">
        <f t="shared" si="30"/>
        <v>37864.61742381348</v>
      </c>
      <c r="C263" s="7">
        <f t="shared" si="31"/>
        <v>41348.103177693294</v>
      </c>
      <c r="D263" s="7">
        <f t="shared" si="35"/>
        <v>79212.72060150676</v>
      </c>
    </row>
    <row r="264" spans="1:4" ht="12.75">
      <c r="A264" s="10">
        <f t="shared" si="34"/>
        <v>226</v>
      </c>
      <c r="B264" s="7">
        <f t="shared" si="30"/>
        <v>37666.491096087026</v>
      </c>
      <c r="C264" s="7">
        <f t="shared" si="31"/>
        <v>41546.229505419746</v>
      </c>
      <c r="D264" s="7">
        <f t="shared" si="35"/>
        <v>79212.72060150676</v>
      </c>
    </row>
    <row r="265" spans="1:4" ht="12.75">
      <c r="A265" s="10">
        <f aca="true" t="shared" si="36" ref="A265:A280">$A264+1</f>
        <v>227</v>
      </c>
      <c r="B265" s="7">
        <f t="shared" si="30"/>
        <v>37467.415413040224</v>
      </c>
      <c r="C265" s="7">
        <f t="shared" si="31"/>
        <v>41745.30518846655</v>
      </c>
      <c r="D265" s="7">
        <f aca="true" t="shared" si="37" ref="D265:D280">SUM(B265:C265)</f>
        <v>79212.72060150676</v>
      </c>
    </row>
    <row r="266" spans="1:5" ht="12.75">
      <c r="A266" s="10">
        <f t="shared" si="36"/>
        <v>228</v>
      </c>
      <c r="B266" s="7">
        <f t="shared" si="30"/>
        <v>37267.38582567882</v>
      </c>
      <c r="C266" s="7">
        <f t="shared" si="31"/>
        <v>41945.33477582795</v>
      </c>
      <c r="D266" s="7">
        <f t="shared" si="37"/>
        <v>79212.72060150676</v>
      </c>
      <c r="E266" s="16">
        <f>SUM(B255:B266)</f>
        <v>460202.95839102956</v>
      </c>
    </row>
    <row r="267" spans="1:4" ht="12.75">
      <c r="A267" s="10">
        <f t="shared" si="36"/>
        <v>229</v>
      </c>
      <c r="B267" s="7">
        <f t="shared" si="30"/>
        <v>37066.3977632113</v>
      </c>
      <c r="C267" s="7">
        <f t="shared" si="31"/>
        <v>42146.322838295455</v>
      </c>
      <c r="D267" s="7">
        <f t="shared" si="37"/>
        <v>79212.72060150676</v>
      </c>
    </row>
    <row r="268" spans="1:4" ht="12.75">
      <c r="A268" s="10">
        <f t="shared" si="36"/>
        <v>230</v>
      </c>
      <c r="B268" s="7">
        <f t="shared" si="30"/>
        <v>36864.44663294448</v>
      </c>
      <c r="C268" s="7">
        <f t="shared" si="31"/>
        <v>42348.27396856229</v>
      </c>
      <c r="D268" s="7">
        <f t="shared" si="37"/>
        <v>79212.72060150676</v>
      </c>
    </row>
    <row r="269" spans="1:4" ht="12.75">
      <c r="A269" s="10">
        <f t="shared" si="36"/>
        <v>231</v>
      </c>
      <c r="B269" s="7">
        <f t="shared" si="30"/>
        <v>36661.527820178446</v>
      </c>
      <c r="C269" s="7">
        <f t="shared" si="31"/>
        <v>42551.19278132832</v>
      </c>
      <c r="D269" s="7">
        <f t="shared" si="37"/>
        <v>79212.72060150676</v>
      </c>
    </row>
    <row r="270" spans="1:4" ht="12.75">
      <c r="A270" s="10">
        <f t="shared" si="36"/>
        <v>232</v>
      </c>
      <c r="B270" s="7">
        <f t="shared" si="30"/>
        <v>36457.63668810125</v>
      </c>
      <c r="C270" s="7">
        <f t="shared" si="31"/>
        <v>42755.08391340552</v>
      </c>
      <c r="D270" s="7">
        <f t="shared" si="37"/>
        <v>79212.72060150676</v>
      </c>
    </row>
    <row r="271" spans="1:4" ht="12.75">
      <c r="A271" s="10">
        <f t="shared" si="36"/>
        <v>233</v>
      </c>
      <c r="B271" s="7">
        <f t="shared" si="30"/>
        <v>36252.76857768285</v>
      </c>
      <c r="C271" s="7">
        <f t="shared" si="31"/>
        <v>42959.95202382393</v>
      </c>
      <c r="D271" s="7">
        <f t="shared" si="37"/>
        <v>79212.72060150678</v>
      </c>
    </row>
    <row r="272" spans="1:4" ht="12.75">
      <c r="A272" s="10">
        <f t="shared" si="36"/>
        <v>234</v>
      </c>
      <c r="B272" s="7">
        <f t="shared" si="30"/>
        <v>36046.9188075687</v>
      </c>
      <c r="C272" s="7">
        <f t="shared" si="31"/>
        <v>43165.80179393807</v>
      </c>
      <c r="D272" s="7">
        <f t="shared" si="37"/>
        <v>79212.72060150676</v>
      </c>
    </row>
    <row r="273" spans="1:4" ht="12.75">
      <c r="A273" s="10">
        <f t="shared" si="36"/>
        <v>235</v>
      </c>
      <c r="B273" s="7">
        <f t="shared" si="30"/>
        <v>35840.08267397274</v>
      </c>
      <c r="C273" s="7">
        <f t="shared" si="31"/>
        <v>43372.63792753403</v>
      </c>
      <c r="D273" s="7">
        <f t="shared" si="37"/>
        <v>79212.72060150676</v>
      </c>
    </row>
    <row r="274" spans="1:4" ht="12.75">
      <c r="A274" s="10">
        <f t="shared" si="36"/>
        <v>236</v>
      </c>
      <c r="B274" s="7">
        <f t="shared" si="30"/>
        <v>35632.25545056998</v>
      </c>
      <c r="C274" s="7">
        <f t="shared" si="31"/>
        <v>43580.4651509368</v>
      </c>
      <c r="D274" s="7">
        <f t="shared" si="37"/>
        <v>79212.72060150678</v>
      </c>
    </row>
    <row r="275" spans="1:4" ht="12.75">
      <c r="A275" s="10">
        <f t="shared" si="36"/>
        <v>237</v>
      </c>
      <c r="B275" s="7">
        <f t="shared" si="30"/>
        <v>35423.432388388406</v>
      </c>
      <c r="C275" s="7">
        <f t="shared" si="31"/>
        <v>43789.288213118365</v>
      </c>
      <c r="D275" s="7">
        <f t="shared" si="37"/>
        <v>79212.72060150676</v>
      </c>
    </row>
    <row r="276" spans="1:4" ht="12.75">
      <c r="A276" s="10">
        <f t="shared" si="36"/>
        <v>238</v>
      </c>
      <c r="B276" s="7">
        <f t="shared" si="30"/>
        <v>35213.60871570054</v>
      </c>
      <c r="C276" s="7">
        <f t="shared" si="31"/>
        <v>43999.111885806225</v>
      </c>
      <c r="D276" s="7">
        <f t="shared" si="37"/>
        <v>79212.72060150676</v>
      </c>
    </row>
    <row r="277" spans="1:4" ht="12.75">
      <c r="A277" s="10">
        <f t="shared" si="36"/>
        <v>239</v>
      </c>
      <c r="B277" s="7">
        <f t="shared" si="30"/>
        <v>35002.77963791439</v>
      </c>
      <c r="C277" s="7">
        <f t="shared" si="31"/>
        <v>44209.94096359238</v>
      </c>
      <c r="D277" s="7">
        <f t="shared" si="37"/>
        <v>79212.72060150676</v>
      </c>
    </row>
    <row r="278" spans="1:5" ht="12.75">
      <c r="A278" s="10">
        <f t="shared" si="36"/>
        <v>240</v>
      </c>
      <c r="B278" s="7">
        <f t="shared" si="30"/>
        <v>34790.94033746385</v>
      </c>
      <c r="C278" s="7">
        <f t="shared" si="31"/>
        <v>44421.78026404293</v>
      </c>
      <c r="D278" s="7">
        <f t="shared" si="37"/>
        <v>79212.72060150678</v>
      </c>
      <c r="E278" s="16">
        <f>SUM(B267:B278)</f>
        <v>431252.79549369693</v>
      </c>
    </row>
    <row r="279" spans="1:4" ht="12.75">
      <c r="A279" s="10">
        <f t="shared" si="36"/>
        <v>241</v>
      </c>
      <c r="B279" s="7">
        <f t="shared" si="30"/>
        <v>34578.08597369863</v>
      </c>
      <c r="C279" s="7">
        <f t="shared" si="31"/>
        <v>44634.63462780813</v>
      </c>
      <c r="D279" s="7">
        <f t="shared" si="37"/>
        <v>79212.72060150676</v>
      </c>
    </row>
    <row r="280" spans="1:4" ht="12.75">
      <c r="A280" s="10">
        <f t="shared" si="36"/>
        <v>242</v>
      </c>
      <c r="B280" s="7">
        <f t="shared" si="30"/>
        <v>34364.21168277372</v>
      </c>
      <c r="C280" s="7">
        <f t="shared" si="31"/>
        <v>44848.508918733045</v>
      </c>
      <c r="D280" s="7">
        <f t="shared" si="37"/>
        <v>79212.72060150676</v>
      </c>
    </row>
    <row r="281" spans="1:4" ht="12.75">
      <c r="A281" s="10">
        <f aca="true" t="shared" si="38" ref="A281:A296">$A280+1</f>
        <v>243</v>
      </c>
      <c r="B281" s="7">
        <f t="shared" si="30"/>
        <v>34149.31257753812</v>
      </c>
      <c r="C281" s="7">
        <f t="shared" si="31"/>
        <v>45063.408023968645</v>
      </c>
      <c r="D281" s="7">
        <f aca="true" t="shared" si="39" ref="D281:D296">SUM(B281:C281)</f>
        <v>79212.72060150676</v>
      </c>
    </row>
    <row r="282" spans="1:4" ht="12.75">
      <c r="A282" s="10">
        <f t="shared" si="38"/>
        <v>244</v>
      </c>
      <c r="B282" s="7">
        <f t="shared" si="30"/>
        <v>33933.38374742327</v>
      </c>
      <c r="C282" s="7">
        <f t="shared" si="31"/>
        <v>45279.33685408349</v>
      </c>
      <c r="D282" s="7">
        <f t="shared" si="39"/>
        <v>79212.72060150676</v>
      </c>
    </row>
    <row r="283" spans="1:4" ht="12.75">
      <c r="A283" s="10">
        <f t="shared" si="38"/>
        <v>245</v>
      </c>
      <c r="B283" s="7">
        <f t="shared" si="30"/>
        <v>33716.42025833079</v>
      </c>
      <c r="C283" s="7">
        <f t="shared" si="31"/>
        <v>45496.30034317598</v>
      </c>
      <c r="D283" s="7">
        <f t="shared" si="39"/>
        <v>79212.72060150676</v>
      </c>
    </row>
    <row r="284" spans="1:4" ht="12.75">
      <c r="A284" s="10">
        <f t="shared" si="38"/>
        <v>246</v>
      </c>
      <c r="B284" s="7">
        <f t="shared" si="30"/>
        <v>33498.41715251974</v>
      </c>
      <c r="C284" s="7">
        <f t="shared" si="31"/>
        <v>45714.30344898703</v>
      </c>
      <c r="D284" s="7">
        <f t="shared" si="39"/>
        <v>79212.72060150676</v>
      </c>
    </row>
    <row r="285" spans="1:4" ht="12.75">
      <c r="A285" s="10">
        <f t="shared" si="38"/>
        <v>247</v>
      </c>
      <c r="B285" s="7">
        <f t="shared" si="30"/>
        <v>33279.369448493344</v>
      </c>
      <c r="C285" s="7">
        <f t="shared" si="31"/>
        <v>45933.35115301343</v>
      </c>
      <c r="D285" s="7">
        <f t="shared" si="39"/>
        <v>79212.72060150676</v>
      </c>
    </row>
    <row r="286" spans="1:4" ht="12.75">
      <c r="A286" s="10">
        <f t="shared" si="38"/>
        <v>248</v>
      </c>
      <c r="B286" s="7">
        <f t="shared" si="30"/>
        <v>33059.27214088516</v>
      </c>
      <c r="C286" s="7">
        <f t="shared" si="31"/>
        <v>46153.44846062162</v>
      </c>
      <c r="D286" s="7">
        <f t="shared" si="39"/>
        <v>79212.72060150678</v>
      </c>
    </row>
    <row r="287" spans="1:4" ht="12.75">
      <c r="A287" s="10">
        <f t="shared" si="38"/>
        <v>249</v>
      </c>
      <c r="B287" s="7">
        <f t="shared" si="30"/>
        <v>32838.12020034468</v>
      </c>
      <c r="C287" s="7">
        <f t="shared" si="31"/>
        <v>46374.6004011621</v>
      </c>
      <c r="D287" s="7">
        <f t="shared" si="39"/>
        <v>79212.72060150678</v>
      </c>
    </row>
    <row r="288" spans="1:4" ht="12.75">
      <c r="A288" s="10">
        <f t="shared" si="38"/>
        <v>250</v>
      </c>
      <c r="B288" s="7">
        <f t="shared" si="30"/>
        <v>32615.908573422443</v>
      </c>
      <c r="C288" s="7">
        <f t="shared" si="31"/>
        <v>46596.81202808433</v>
      </c>
      <c r="D288" s="7">
        <f t="shared" si="39"/>
        <v>79212.72060150676</v>
      </c>
    </row>
    <row r="289" spans="1:4" ht="12.75">
      <c r="A289" s="10">
        <f t="shared" si="38"/>
        <v>251</v>
      </c>
      <c r="B289" s="7">
        <f t="shared" si="30"/>
        <v>32392.63218245454</v>
      </c>
      <c r="C289" s="7">
        <f t="shared" si="31"/>
        <v>46820.088419052234</v>
      </c>
      <c r="D289" s="7">
        <f t="shared" si="39"/>
        <v>79212.72060150678</v>
      </c>
    </row>
    <row r="290" spans="1:5" ht="12.75">
      <c r="A290" s="10">
        <f t="shared" si="38"/>
        <v>252</v>
      </c>
      <c r="B290" s="7">
        <f t="shared" si="30"/>
        <v>32168.28592544658</v>
      </c>
      <c r="C290" s="7">
        <f t="shared" si="31"/>
        <v>47044.4346760602</v>
      </c>
      <c r="D290" s="7">
        <f t="shared" si="39"/>
        <v>79212.72060150678</v>
      </c>
      <c r="E290" s="16">
        <f>SUM(B279:B290)</f>
        <v>400593.419863331</v>
      </c>
    </row>
    <row r="291" spans="1:4" ht="12.75">
      <c r="A291" s="10">
        <f t="shared" si="38"/>
        <v>253</v>
      </c>
      <c r="B291" s="7">
        <f t="shared" si="30"/>
        <v>31942.864675957124</v>
      </c>
      <c r="C291" s="7">
        <f t="shared" si="31"/>
        <v>47269.855925549644</v>
      </c>
      <c r="D291" s="7">
        <f t="shared" si="39"/>
        <v>79212.72060150676</v>
      </c>
    </row>
    <row r="292" spans="1:4" ht="12.75">
      <c r="A292" s="10">
        <f t="shared" si="38"/>
        <v>254</v>
      </c>
      <c r="B292" s="7">
        <f t="shared" si="30"/>
        <v>31716.363282980536</v>
      </c>
      <c r="C292" s="7">
        <f t="shared" si="31"/>
        <v>47496.35731852624</v>
      </c>
      <c r="D292" s="7">
        <f t="shared" si="39"/>
        <v>79212.72060150678</v>
      </c>
    </row>
    <row r="293" spans="1:4" ht="12.75">
      <c r="A293" s="10">
        <f t="shared" si="38"/>
        <v>255</v>
      </c>
      <c r="B293" s="7">
        <f t="shared" si="30"/>
        <v>31488.776570829257</v>
      </c>
      <c r="C293" s="7">
        <f t="shared" si="31"/>
        <v>47723.944030677514</v>
      </c>
      <c r="D293" s="7">
        <f t="shared" si="39"/>
        <v>79212.72060150676</v>
      </c>
    </row>
    <row r="294" spans="1:4" ht="12.75">
      <c r="A294" s="10">
        <f t="shared" si="38"/>
        <v>256</v>
      </c>
      <c r="B294" s="7">
        <f t="shared" si="30"/>
        <v>31260.099339015596</v>
      </c>
      <c r="C294" s="7">
        <f t="shared" si="31"/>
        <v>47952.62126249118</v>
      </c>
      <c r="D294" s="7">
        <f t="shared" si="39"/>
        <v>79212.72060150678</v>
      </c>
    </row>
    <row r="295" spans="1:4" ht="12.75">
      <c r="A295" s="10">
        <f t="shared" si="38"/>
        <v>257</v>
      </c>
      <c r="B295" s="7">
        <f t="shared" si="30"/>
        <v>31030.326362132826</v>
      </c>
      <c r="C295" s="7">
        <f t="shared" si="31"/>
        <v>48182.39423937394</v>
      </c>
      <c r="D295" s="7">
        <f t="shared" si="39"/>
        <v>79212.72060150676</v>
      </c>
    </row>
    <row r="296" spans="1:4" ht="12.75">
      <c r="A296" s="10">
        <f t="shared" si="38"/>
        <v>258</v>
      </c>
      <c r="B296" s="7">
        <f aca="true" t="shared" si="40" ref="B296:B359">IF($D$27+0.5&gt;$A296,-IPMT($D$30,$A296,$D$27,$D$17,0,0),0)</f>
        <v>30799.452389735827</v>
      </c>
      <c r="C296" s="7">
        <f aca="true" t="shared" si="41" ref="C296:C359">IF($D$27+0.5&gt;$A296,-PPMT($D$30,$A296,$D$27,$D$17,0,0),0)</f>
        <v>48413.26821177094</v>
      </c>
      <c r="D296" s="7">
        <f t="shared" si="39"/>
        <v>79212.72060150676</v>
      </c>
    </row>
    <row r="297" spans="1:4" ht="12.75">
      <c r="A297" s="10">
        <f aca="true" t="shared" si="42" ref="A297:A312">$A296+1</f>
        <v>259</v>
      </c>
      <c r="B297" s="7">
        <f t="shared" si="40"/>
        <v>30567.472146221087</v>
      </c>
      <c r="C297" s="7">
        <f t="shared" si="41"/>
        <v>48645.24845528568</v>
      </c>
      <c r="D297" s="7">
        <f aca="true" t="shared" si="43" ref="D297:D312">SUM(B297:C297)</f>
        <v>79212.72060150676</v>
      </c>
    </row>
    <row r="298" spans="1:4" ht="12.75">
      <c r="A298" s="10">
        <f t="shared" si="42"/>
        <v>260</v>
      </c>
      <c r="B298" s="7">
        <f t="shared" si="40"/>
        <v>30334.38033070618</v>
      </c>
      <c r="C298" s="7">
        <f t="shared" si="41"/>
        <v>48878.34027080059</v>
      </c>
      <c r="D298" s="7">
        <f t="shared" si="43"/>
        <v>79212.72060150676</v>
      </c>
    </row>
    <row r="299" spans="1:4" ht="12.75">
      <c r="A299" s="10">
        <f t="shared" si="42"/>
        <v>261</v>
      </c>
      <c r="B299" s="7">
        <f t="shared" si="40"/>
        <v>30100.171616908596</v>
      </c>
      <c r="C299" s="7">
        <f t="shared" si="41"/>
        <v>49112.54898459818</v>
      </c>
      <c r="D299" s="7">
        <f t="shared" si="43"/>
        <v>79212.72060150678</v>
      </c>
    </row>
    <row r="300" spans="1:4" ht="12.75">
      <c r="A300" s="10">
        <f t="shared" si="42"/>
        <v>262</v>
      </c>
      <c r="B300" s="7">
        <f t="shared" si="40"/>
        <v>29864.840653024065</v>
      </c>
      <c r="C300" s="7">
        <f t="shared" si="41"/>
        <v>49347.87994848271</v>
      </c>
      <c r="D300" s="7">
        <f t="shared" si="43"/>
        <v>79212.72060150678</v>
      </c>
    </row>
    <row r="301" spans="1:4" ht="12.75">
      <c r="A301" s="10">
        <f t="shared" si="42"/>
        <v>263</v>
      </c>
      <c r="B301" s="7">
        <f t="shared" si="40"/>
        <v>29628.382061604247</v>
      </c>
      <c r="C301" s="7">
        <f t="shared" si="41"/>
        <v>49584.33853990252</v>
      </c>
      <c r="D301" s="7">
        <f t="shared" si="43"/>
        <v>79212.72060150676</v>
      </c>
    </row>
    <row r="302" spans="1:5" ht="12.75">
      <c r="A302" s="10">
        <f t="shared" si="42"/>
        <v>264</v>
      </c>
      <c r="B302" s="7">
        <f t="shared" si="40"/>
        <v>29390.790439433884</v>
      </c>
      <c r="C302" s="7">
        <f t="shared" si="41"/>
        <v>49821.930162072895</v>
      </c>
      <c r="D302" s="7">
        <f t="shared" si="43"/>
        <v>79212.72060150678</v>
      </c>
      <c r="E302" s="16">
        <f>SUM(B291:B302)</f>
        <v>368123.9198685492</v>
      </c>
    </row>
    <row r="303" spans="1:4" ht="12.75">
      <c r="A303" s="10">
        <f t="shared" si="42"/>
        <v>265</v>
      </c>
      <c r="B303" s="7">
        <f t="shared" si="40"/>
        <v>29152.06035740728</v>
      </c>
      <c r="C303" s="7">
        <f t="shared" si="41"/>
        <v>50060.66024409948</v>
      </c>
      <c r="D303" s="7">
        <f t="shared" si="43"/>
        <v>79212.72060150676</v>
      </c>
    </row>
    <row r="304" spans="1:4" ht="12.75">
      <c r="A304" s="10">
        <f t="shared" si="42"/>
        <v>266</v>
      </c>
      <c r="B304" s="7">
        <f t="shared" si="40"/>
        <v>28912.186360404306</v>
      </c>
      <c r="C304" s="7">
        <f t="shared" si="41"/>
        <v>50300.53424110247</v>
      </c>
      <c r="D304" s="7">
        <f t="shared" si="43"/>
        <v>79212.72060150678</v>
      </c>
    </row>
    <row r="305" spans="1:4" ht="12.75">
      <c r="A305" s="10">
        <f t="shared" si="42"/>
        <v>267</v>
      </c>
      <c r="B305" s="7">
        <f t="shared" si="40"/>
        <v>28671.16296716569</v>
      </c>
      <c r="C305" s="7">
        <f t="shared" si="41"/>
        <v>50541.55763434107</v>
      </c>
      <c r="D305" s="7">
        <f t="shared" si="43"/>
        <v>79212.72060150676</v>
      </c>
    </row>
    <row r="306" spans="1:4" ht="12.75">
      <c r="A306" s="10">
        <f t="shared" si="42"/>
        <v>268</v>
      </c>
      <c r="B306" s="7">
        <f t="shared" si="40"/>
        <v>28428.984670167803</v>
      </c>
      <c r="C306" s="7">
        <f t="shared" si="41"/>
        <v>50783.73593133897</v>
      </c>
      <c r="D306" s="7">
        <f t="shared" si="43"/>
        <v>79212.72060150676</v>
      </c>
    </row>
    <row r="307" spans="1:4" ht="12.75">
      <c r="A307" s="10">
        <f t="shared" si="42"/>
        <v>269</v>
      </c>
      <c r="B307" s="7">
        <f t="shared" si="40"/>
        <v>28185.645935496806</v>
      </c>
      <c r="C307" s="7">
        <f t="shared" si="41"/>
        <v>51027.07466600996</v>
      </c>
      <c r="D307" s="7">
        <f t="shared" si="43"/>
        <v>79212.72060150676</v>
      </c>
    </row>
    <row r="308" spans="1:4" ht="12.75">
      <c r="A308" s="10">
        <f t="shared" si="42"/>
        <v>270</v>
      </c>
      <c r="B308" s="7">
        <f t="shared" si="40"/>
        <v>27941.141202722174</v>
      </c>
      <c r="C308" s="7">
        <f t="shared" si="41"/>
        <v>51271.5793987846</v>
      </c>
      <c r="D308" s="7">
        <f t="shared" si="43"/>
        <v>79212.72060150676</v>
      </c>
    </row>
    <row r="309" spans="1:4" ht="12.75">
      <c r="A309" s="10">
        <f t="shared" si="42"/>
        <v>271</v>
      </c>
      <c r="B309" s="7">
        <f t="shared" si="40"/>
        <v>27695.464884769663</v>
      </c>
      <c r="C309" s="7">
        <f t="shared" si="41"/>
        <v>51517.255716737105</v>
      </c>
      <c r="D309" s="7">
        <f t="shared" si="43"/>
        <v>79212.72060150676</v>
      </c>
    </row>
    <row r="310" spans="1:4" ht="12.75">
      <c r="A310" s="10">
        <f t="shared" si="42"/>
        <v>272</v>
      </c>
      <c r="B310" s="7">
        <f t="shared" si="40"/>
        <v>27448.611367793634</v>
      </c>
      <c r="C310" s="7">
        <f t="shared" si="41"/>
        <v>51764.10923371314</v>
      </c>
      <c r="D310" s="7">
        <f t="shared" si="43"/>
        <v>79212.72060150678</v>
      </c>
    </row>
    <row r="311" spans="1:4" ht="12.75">
      <c r="A311" s="10">
        <f t="shared" si="42"/>
        <v>273</v>
      </c>
      <c r="B311" s="7">
        <f t="shared" si="40"/>
        <v>27200.57501104876</v>
      </c>
      <c r="C311" s="7">
        <f t="shared" si="41"/>
        <v>52012.145590458014</v>
      </c>
      <c r="D311" s="7">
        <f t="shared" si="43"/>
        <v>79212.72060150678</v>
      </c>
    </row>
    <row r="312" spans="1:4" ht="12.75">
      <c r="A312" s="10">
        <f t="shared" si="42"/>
        <v>274</v>
      </c>
      <c r="B312" s="7">
        <f t="shared" si="40"/>
        <v>26951.350146761146</v>
      </c>
      <c r="C312" s="7">
        <f t="shared" si="41"/>
        <v>52261.37045474562</v>
      </c>
      <c r="D312" s="7">
        <f t="shared" si="43"/>
        <v>79212.72060150676</v>
      </c>
    </row>
    <row r="313" spans="1:4" ht="12.75">
      <c r="A313" s="10">
        <f aca="true" t="shared" si="44" ref="A313:A328">$A312+1</f>
        <v>275</v>
      </c>
      <c r="B313" s="7">
        <f t="shared" si="40"/>
        <v>26700.931079998823</v>
      </c>
      <c r="C313" s="7">
        <f t="shared" si="41"/>
        <v>52511.78952150795</v>
      </c>
      <c r="D313" s="7">
        <f aca="true" t="shared" si="45" ref="D313:D328">SUM(B313:C313)</f>
        <v>79212.72060150676</v>
      </c>
    </row>
    <row r="314" spans="1:5" ht="12.75">
      <c r="A314" s="10">
        <f t="shared" si="44"/>
        <v>276</v>
      </c>
      <c r="B314" s="7">
        <f t="shared" si="40"/>
        <v>26449.3120885416</v>
      </c>
      <c r="C314" s="7">
        <f t="shared" si="41"/>
        <v>52763.40851296517</v>
      </c>
      <c r="D314" s="7">
        <f t="shared" si="45"/>
        <v>79212.72060150676</v>
      </c>
      <c r="E314" s="16">
        <f>SUM(B303:B314)</f>
        <v>333737.4260722777</v>
      </c>
    </row>
    <row r="315" spans="1:4" ht="12.75">
      <c r="A315" s="10">
        <f t="shared" si="44"/>
        <v>277</v>
      </c>
      <c r="B315" s="7">
        <f t="shared" si="40"/>
        <v>26196.48742275031</v>
      </c>
      <c r="C315" s="7">
        <f t="shared" si="41"/>
        <v>53016.23317875647</v>
      </c>
      <c r="D315" s="7">
        <f t="shared" si="45"/>
        <v>79212.72060150678</v>
      </c>
    </row>
    <row r="316" spans="1:4" ht="12.75">
      <c r="A316" s="10">
        <f t="shared" si="44"/>
        <v>278</v>
      </c>
      <c r="B316" s="7">
        <f t="shared" si="40"/>
        <v>25942.451305435432</v>
      </c>
      <c r="C316" s="7">
        <f t="shared" si="41"/>
        <v>53270.26929607134</v>
      </c>
      <c r="D316" s="7">
        <f t="shared" si="45"/>
        <v>79212.72060150676</v>
      </c>
    </row>
    <row r="317" spans="1:4" ht="12.75">
      <c r="A317" s="10">
        <f t="shared" si="44"/>
        <v>279</v>
      </c>
      <c r="B317" s="7">
        <f t="shared" si="40"/>
        <v>25687.197931725088</v>
      </c>
      <c r="C317" s="7">
        <f t="shared" si="41"/>
        <v>53525.522669781676</v>
      </c>
      <c r="D317" s="7">
        <f t="shared" si="45"/>
        <v>79212.72060150676</v>
      </c>
    </row>
    <row r="318" spans="1:4" ht="12.75">
      <c r="A318" s="10">
        <f t="shared" si="44"/>
        <v>280</v>
      </c>
      <c r="B318" s="7">
        <f t="shared" si="40"/>
        <v>25430.72146893239</v>
      </c>
      <c r="C318" s="7">
        <f t="shared" si="41"/>
        <v>53781.99913257439</v>
      </c>
      <c r="D318" s="7">
        <f t="shared" si="45"/>
        <v>79212.72060150678</v>
      </c>
    </row>
    <row r="319" spans="1:4" ht="12.75">
      <c r="A319" s="10">
        <f t="shared" si="44"/>
        <v>281</v>
      </c>
      <c r="B319" s="7">
        <f t="shared" si="40"/>
        <v>25173.01605642213</v>
      </c>
      <c r="C319" s="7">
        <f t="shared" si="41"/>
        <v>54039.704545084634</v>
      </c>
      <c r="D319" s="7">
        <f t="shared" si="45"/>
        <v>79212.72060150676</v>
      </c>
    </row>
    <row r="320" spans="1:4" ht="12.75">
      <c r="A320" s="10">
        <f t="shared" si="44"/>
        <v>282</v>
      </c>
      <c r="B320" s="7">
        <f t="shared" si="40"/>
        <v>24914.07580547694</v>
      </c>
      <c r="C320" s="7">
        <f t="shared" si="41"/>
        <v>54298.64479602983</v>
      </c>
      <c r="D320" s="7">
        <f t="shared" si="45"/>
        <v>79212.72060150676</v>
      </c>
    </row>
    <row r="321" spans="1:4" ht="12.75">
      <c r="A321" s="10">
        <f t="shared" si="44"/>
        <v>283</v>
      </c>
      <c r="B321" s="7">
        <f t="shared" si="40"/>
        <v>24653.89479916263</v>
      </c>
      <c r="C321" s="7">
        <f t="shared" si="41"/>
        <v>54558.825802344145</v>
      </c>
      <c r="D321" s="7">
        <f t="shared" si="45"/>
        <v>79212.72060150678</v>
      </c>
    </row>
    <row r="322" spans="1:4" ht="12.75">
      <c r="A322" s="10">
        <f t="shared" si="44"/>
        <v>284</v>
      </c>
      <c r="B322" s="7">
        <f t="shared" si="40"/>
        <v>24392.46709219306</v>
      </c>
      <c r="C322" s="7">
        <f t="shared" si="41"/>
        <v>54820.253509313705</v>
      </c>
      <c r="D322" s="7">
        <f t="shared" si="45"/>
        <v>79212.72060150676</v>
      </c>
    </row>
    <row r="323" spans="1:4" ht="12.75">
      <c r="A323" s="10">
        <f t="shared" si="44"/>
        <v>285</v>
      </c>
      <c r="B323" s="7">
        <f t="shared" si="40"/>
        <v>24129.786710794266</v>
      </c>
      <c r="C323" s="7">
        <f t="shared" si="41"/>
        <v>55082.933890712506</v>
      </c>
      <c r="D323" s="7">
        <f t="shared" si="45"/>
        <v>79212.72060150676</v>
      </c>
    </row>
    <row r="324" spans="1:4" ht="12.75">
      <c r="A324" s="10">
        <f t="shared" si="44"/>
        <v>286</v>
      </c>
      <c r="B324" s="7">
        <f t="shared" si="40"/>
        <v>23865.84765256794</v>
      </c>
      <c r="C324" s="7">
        <f t="shared" si="41"/>
        <v>55346.87294893883</v>
      </c>
      <c r="D324" s="7">
        <f t="shared" si="45"/>
        <v>79212.72060150676</v>
      </c>
    </row>
    <row r="325" spans="1:4" ht="12.75">
      <c r="A325" s="10">
        <f t="shared" si="44"/>
        <v>287</v>
      </c>
      <c r="B325" s="7">
        <f t="shared" si="40"/>
        <v>23600.643886354268</v>
      </c>
      <c r="C325" s="7">
        <f t="shared" si="41"/>
        <v>55612.0767151525</v>
      </c>
      <c r="D325" s="7">
        <f t="shared" si="45"/>
        <v>79212.72060150676</v>
      </c>
    </row>
    <row r="326" spans="1:5" ht="12.75">
      <c r="A326" s="10">
        <f t="shared" si="44"/>
        <v>288</v>
      </c>
      <c r="B326" s="7">
        <f t="shared" si="40"/>
        <v>23334.169352094166</v>
      </c>
      <c r="C326" s="7">
        <f t="shared" si="41"/>
        <v>55878.551249412616</v>
      </c>
      <c r="D326" s="7">
        <f t="shared" si="45"/>
        <v>79212.72060150678</v>
      </c>
      <c r="E326" s="16">
        <f>SUM(B315:B326)</f>
        <v>297320.7594839086</v>
      </c>
    </row>
    <row r="327" spans="1:4" ht="12.75">
      <c r="A327" s="10">
        <f t="shared" si="44"/>
        <v>289</v>
      </c>
      <c r="B327" s="7">
        <f t="shared" si="40"/>
        <v>23066.41796069073</v>
      </c>
      <c r="C327" s="7">
        <f t="shared" si="41"/>
        <v>56146.302640816044</v>
      </c>
      <c r="D327" s="7">
        <f t="shared" si="45"/>
        <v>79212.72060150678</v>
      </c>
    </row>
    <row r="328" spans="1:4" ht="12.75">
      <c r="A328" s="10">
        <f t="shared" si="44"/>
        <v>290</v>
      </c>
      <c r="B328" s="7">
        <f t="shared" si="40"/>
        <v>22797.383593870152</v>
      </c>
      <c r="C328" s="7">
        <f t="shared" si="41"/>
        <v>56415.33700763662</v>
      </c>
      <c r="D328" s="7">
        <f t="shared" si="45"/>
        <v>79212.72060150676</v>
      </c>
    </row>
    <row r="329" spans="1:4" ht="12.75">
      <c r="A329" s="10">
        <f aca="true" t="shared" si="46" ref="A329:A344">$A328+1</f>
        <v>291</v>
      </c>
      <c r="B329" s="7">
        <f t="shared" si="40"/>
        <v>22527.06010404189</v>
      </c>
      <c r="C329" s="7">
        <f t="shared" si="41"/>
        <v>56685.66049746487</v>
      </c>
      <c r="D329" s="7">
        <f aca="true" t="shared" si="47" ref="D329:D344">SUM(B329:C329)</f>
        <v>79212.72060150676</v>
      </c>
    </row>
    <row r="330" spans="1:4" ht="12.75">
      <c r="A330" s="10">
        <f t="shared" si="46"/>
        <v>292</v>
      </c>
      <c r="B330" s="7">
        <f t="shared" si="40"/>
        <v>22255.441314158208</v>
      </c>
      <c r="C330" s="7">
        <f t="shared" si="41"/>
        <v>56957.27928734856</v>
      </c>
      <c r="D330" s="7">
        <f t="shared" si="47"/>
        <v>79212.72060150676</v>
      </c>
    </row>
    <row r="331" spans="1:4" ht="12.75">
      <c r="A331" s="10">
        <f t="shared" si="46"/>
        <v>293</v>
      </c>
      <c r="B331" s="7">
        <f t="shared" si="40"/>
        <v>21982.521017572995</v>
      </c>
      <c r="C331" s="7">
        <f t="shared" si="41"/>
        <v>57230.199583933776</v>
      </c>
      <c r="D331" s="7">
        <f t="shared" si="47"/>
        <v>79212.72060150676</v>
      </c>
    </row>
    <row r="332" spans="1:4" ht="12.75">
      <c r="A332" s="10">
        <f t="shared" si="46"/>
        <v>294</v>
      </c>
      <c r="B332" s="7">
        <f t="shared" si="40"/>
        <v>21708.29297789998</v>
      </c>
      <c r="C332" s="7">
        <f t="shared" si="41"/>
        <v>57504.42762360678</v>
      </c>
      <c r="D332" s="7">
        <f t="shared" si="47"/>
        <v>79212.72060150676</v>
      </c>
    </row>
    <row r="333" spans="1:4" ht="12.75">
      <c r="A333" s="10">
        <f t="shared" si="46"/>
        <v>295</v>
      </c>
      <c r="B333" s="7">
        <f t="shared" si="40"/>
        <v>21432.750928870195</v>
      </c>
      <c r="C333" s="7">
        <f t="shared" si="41"/>
        <v>57779.96967263657</v>
      </c>
      <c r="D333" s="7">
        <f t="shared" si="47"/>
        <v>79212.72060150676</v>
      </c>
    </row>
    <row r="334" spans="1:4" ht="12.75">
      <c r="A334" s="10">
        <f t="shared" si="46"/>
        <v>296</v>
      </c>
      <c r="B334" s="7">
        <f t="shared" si="40"/>
        <v>21155.888574188815</v>
      </c>
      <c r="C334" s="7">
        <f t="shared" si="41"/>
        <v>58056.832027317956</v>
      </c>
      <c r="D334" s="7">
        <f t="shared" si="47"/>
        <v>79212.72060150676</v>
      </c>
    </row>
    <row r="335" spans="1:4" ht="12.75">
      <c r="A335" s="10">
        <f t="shared" si="46"/>
        <v>297</v>
      </c>
      <c r="B335" s="7">
        <f t="shared" si="40"/>
        <v>20877.699587391246</v>
      </c>
      <c r="C335" s="7">
        <f t="shared" si="41"/>
        <v>58335.02101411552</v>
      </c>
      <c r="D335" s="7">
        <f t="shared" si="47"/>
        <v>79212.72060150676</v>
      </c>
    </row>
    <row r="336" spans="1:4" ht="12.75">
      <c r="A336" s="10">
        <f t="shared" si="46"/>
        <v>298</v>
      </c>
      <c r="B336" s="7">
        <f t="shared" si="40"/>
        <v>20598.17761169861</v>
      </c>
      <c r="C336" s="7">
        <f t="shared" si="41"/>
        <v>58614.54298980816</v>
      </c>
      <c r="D336" s="7">
        <f t="shared" si="47"/>
        <v>79212.72060150676</v>
      </c>
    </row>
    <row r="337" spans="1:4" ht="12.75">
      <c r="A337" s="10">
        <f t="shared" si="46"/>
        <v>299</v>
      </c>
      <c r="B337" s="7">
        <f t="shared" si="40"/>
        <v>20317.31625987245</v>
      </c>
      <c r="C337" s="7">
        <f t="shared" si="41"/>
        <v>58895.40434163431</v>
      </c>
      <c r="D337" s="7">
        <f t="shared" si="47"/>
        <v>79212.72060150676</v>
      </c>
    </row>
    <row r="338" spans="1:5" ht="12.75">
      <c r="A338" s="10">
        <f t="shared" si="46"/>
        <v>300</v>
      </c>
      <c r="B338" s="7">
        <f t="shared" si="40"/>
        <v>20035.109114068786</v>
      </c>
      <c r="C338" s="7">
        <f t="shared" si="41"/>
        <v>59177.611487437985</v>
      </c>
      <c r="D338" s="7">
        <f t="shared" si="47"/>
        <v>79212.72060150676</v>
      </c>
      <c r="E338" s="16">
        <f>SUM(B327:B338)</f>
        <v>258754.05904432407</v>
      </c>
    </row>
    <row r="339" spans="1:4" ht="12.75">
      <c r="A339" s="10">
        <f t="shared" si="46"/>
        <v>301</v>
      </c>
      <c r="B339" s="7">
        <f t="shared" si="40"/>
        <v>19751.54972569147</v>
      </c>
      <c r="C339" s="7">
        <f t="shared" si="41"/>
        <v>59461.17087581529</v>
      </c>
      <c r="D339" s="7">
        <f t="shared" si="47"/>
        <v>79212.72060150676</v>
      </c>
    </row>
    <row r="340" spans="1:4" ht="12.75">
      <c r="A340" s="10">
        <f t="shared" si="46"/>
        <v>302</v>
      </c>
      <c r="B340" s="7">
        <f t="shared" si="40"/>
        <v>19466.63161524486</v>
      </c>
      <c r="C340" s="7">
        <f t="shared" si="41"/>
        <v>59746.08898626191</v>
      </c>
      <c r="D340" s="7">
        <f t="shared" si="47"/>
        <v>79212.72060150676</v>
      </c>
    </row>
    <row r="341" spans="1:4" ht="12.75">
      <c r="A341" s="10">
        <f t="shared" si="46"/>
        <v>303</v>
      </c>
      <c r="B341" s="7">
        <f t="shared" si="40"/>
        <v>19180.34827218569</v>
      </c>
      <c r="C341" s="7">
        <f t="shared" si="41"/>
        <v>60032.37232932108</v>
      </c>
      <c r="D341" s="7">
        <f t="shared" si="47"/>
        <v>79212.72060150676</v>
      </c>
    </row>
    <row r="342" spans="1:4" ht="12.75">
      <c r="A342" s="10">
        <f t="shared" si="46"/>
        <v>304</v>
      </c>
      <c r="B342" s="7">
        <f t="shared" si="40"/>
        <v>18892.693154774362</v>
      </c>
      <c r="C342" s="7">
        <f t="shared" si="41"/>
        <v>60320.02744673241</v>
      </c>
      <c r="D342" s="7">
        <f t="shared" si="47"/>
        <v>79212.72060150678</v>
      </c>
    </row>
    <row r="343" spans="1:4" ht="12.75">
      <c r="A343" s="10">
        <f t="shared" si="46"/>
        <v>305</v>
      </c>
      <c r="B343" s="7">
        <f t="shared" si="40"/>
        <v>18603.65968992543</v>
      </c>
      <c r="C343" s="7">
        <f t="shared" si="41"/>
        <v>60609.060911581335</v>
      </c>
      <c r="D343" s="7">
        <f t="shared" si="47"/>
        <v>79212.72060150676</v>
      </c>
    </row>
    <row r="344" spans="1:4" ht="12.75">
      <c r="A344" s="10">
        <f t="shared" si="46"/>
        <v>306</v>
      </c>
      <c r="B344" s="7">
        <f t="shared" si="40"/>
        <v>18313.24127305744</v>
      </c>
      <c r="C344" s="7">
        <f t="shared" si="41"/>
        <v>60899.47932844933</v>
      </c>
      <c r="D344" s="7">
        <f t="shared" si="47"/>
        <v>79212.72060150676</v>
      </c>
    </row>
    <row r="345" spans="1:4" ht="12.75">
      <c r="A345" s="10">
        <f aca="true" t="shared" si="48" ref="A345:A360">$A344+1</f>
        <v>307</v>
      </c>
      <c r="B345" s="7">
        <f t="shared" si="40"/>
        <v>18021.431267941953</v>
      </c>
      <c r="C345" s="7">
        <f t="shared" si="41"/>
        <v>61191.28933356482</v>
      </c>
      <c r="D345" s="7">
        <f aca="true" t="shared" si="49" ref="D345:D360">SUM(B345:C345)</f>
        <v>79212.72060150676</v>
      </c>
    </row>
    <row r="346" spans="1:4" ht="12.75">
      <c r="A346" s="10">
        <f t="shared" si="48"/>
        <v>308</v>
      </c>
      <c r="B346" s="7">
        <f t="shared" si="40"/>
        <v>17728.223006551954</v>
      </c>
      <c r="C346" s="7">
        <f t="shared" si="41"/>
        <v>61484.49759495482</v>
      </c>
      <c r="D346" s="7">
        <f t="shared" si="49"/>
        <v>79212.72060150676</v>
      </c>
    </row>
    <row r="347" spans="1:4" ht="12.75">
      <c r="A347" s="10">
        <f t="shared" si="48"/>
        <v>309</v>
      </c>
      <c r="B347" s="7">
        <f t="shared" si="40"/>
        <v>17433.609788909464</v>
      </c>
      <c r="C347" s="7">
        <f t="shared" si="41"/>
        <v>61779.110812597304</v>
      </c>
      <c r="D347" s="7">
        <f t="shared" si="49"/>
        <v>79212.72060150676</v>
      </c>
    </row>
    <row r="348" spans="1:4" ht="12.75">
      <c r="A348" s="10">
        <f t="shared" si="48"/>
        <v>310</v>
      </c>
      <c r="B348" s="7">
        <f t="shared" si="40"/>
        <v>17137.584882932435</v>
      </c>
      <c r="C348" s="7">
        <f t="shared" si="41"/>
        <v>62075.13571857433</v>
      </c>
      <c r="D348" s="7">
        <f t="shared" si="49"/>
        <v>79212.72060150676</v>
      </c>
    </row>
    <row r="349" spans="1:4" ht="12.75">
      <c r="A349" s="10">
        <f t="shared" si="48"/>
        <v>311</v>
      </c>
      <c r="B349" s="7">
        <f t="shared" si="40"/>
        <v>16840.141524280934</v>
      </c>
      <c r="C349" s="7">
        <f t="shared" si="41"/>
        <v>62372.57907722583</v>
      </c>
      <c r="D349" s="7">
        <f t="shared" si="49"/>
        <v>79212.72060150676</v>
      </c>
    </row>
    <row r="350" spans="1:5" ht="12.75">
      <c r="A350" s="10">
        <f t="shared" si="48"/>
        <v>312</v>
      </c>
      <c r="B350" s="7">
        <f t="shared" si="40"/>
        <v>16541.272916202557</v>
      </c>
      <c r="C350" s="7">
        <f t="shared" si="41"/>
        <v>62671.447685304214</v>
      </c>
      <c r="D350" s="7">
        <f t="shared" si="49"/>
        <v>79212.72060150676</v>
      </c>
      <c r="E350" s="16">
        <f>SUM(B339:B350)</f>
        <v>217910.38711769853</v>
      </c>
    </row>
    <row r="351" spans="1:4" ht="12.75">
      <c r="A351" s="10">
        <f t="shared" si="48"/>
        <v>313</v>
      </c>
      <c r="B351" s="7">
        <f t="shared" si="40"/>
        <v>16240.972229377143</v>
      </c>
      <c r="C351" s="7">
        <f t="shared" si="41"/>
        <v>62971.74837212963</v>
      </c>
      <c r="D351" s="7">
        <f t="shared" si="49"/>
        <v>79212.72060150678</v>
      </c>
    </row>
    <row r="352" spans="1:4" ht="12.75">
      <c r="A352" s="10">
        <f t="shared" si="48"/>
        <v>314</v>
      </c>
      <c r="B352" s="7">
        <f t="shared" si="40"/>
        <v>15939.23260176069</v>
      </c>
      <c r="C352" s="7">
        <f t="shared" si="41"/>
        <v>63273.48799974608</v>
      </c>
      <c r="D352" s="7">
        <f t="shared" si="49"/>
        <v>79212.72060150676</v>
      </c>
    </row>
    <row r="353" spans="1:4" ht="12.75">
      <c r="A353" s="10">
        <f t="shared" si="48"/>
        <v>315</v>
      </c>
      <c r="B353" s="7">
        <f t="shared" si="40"/>
        <v>15636.047138428574</v>
      </c>
      <c r="C353" s="7">
        <f t="shared" si="41"/>
        <v>63576.6734630782</v>
      </c>
      <c r="D353" s="7">
        <f t="shared" si="49"/>
        <v>79212.72060150678</v>
      </c>
    </row>
    <row r="354" spans="1:4" ht="12.75">
      <c r="A354" s="10">
        <f t="shared" si="48"/>
        <v>316</v>
      </c>
      <c r="B354" s="7">
        <f t="shared" si="40"/>
        <v>15331.408911417986</v>
      </c>
      <c r="C354" s="7">
        <f t="shared" si="41"/>
        <v>63881.31169008878</v>
      </c>
      <c r="D354" s="7">
        <f t="shared" si="49"/>
        <v>79212.72060150676</v>
      </c>
    </row>
    <row r="355" spans="1:4" ht="12.75">
      <c r="A355" s="10">
        <f t="shared" si="48"/>
        <v>317</v>
      </c>
      <c r="B355" s="7">
        <f t="shared" si="40"/>
        <v>15025.310959569646</v>
      </c>
      <c r="C355" s="7">
        <f t="shared" si="41"/>
        <v>64187.40964193712</v>
      </c>
      <c r="D355" s="7">
        <f t="shared" si="49"/>
        <v>79212.72060150676</v>
      </c>
    </row>
    <row r="356" spans="1:4" ht="12.75">
      <c r="A356" s="10">
        <f t="shared" si="48"/>
        <v>318</v>
      </c>
      <c r="B356" s="7">
        <f t="shared" si="40"/>
        <v>14717.746288368699</v>
      </c>
      <c r="C356" s="7">
        <f t="shared" si="41"/>
        <v>64494.974313138075</v>
      </c>
      <c r="D356" s="7">
        <f t="shared" si="49"/>
        <v>79212.72060150678</v>
      </c>
    </row>
    <row r="357" spans="1:4" ht="12.75">
      <c r="A357" s="10">
        <f t="shared" si="48"/>
        <v>319</v>
      </c>
      <c r="B357" s="7">
        <f t="shared" si="40"/>
        <v>14408.707869784912</v>
      </c>
      <c r="C357" s="7">
        <f t="shared" si="41"/>
        <v>64804.01273172186</v>
      </c>
      <c r="D357" s="7">
        <f t="shared" si="49"/>
        <v>79212.72060150676</v>
      </c>
    </row>
    <row r="358" spans="1:4" ht="12.75">
      <c r="A358" s="10">
        <f t="shared" si="48"/>
        <v>320</v>
      </c>
      <c r="B358" s="7">
        <f t="shared" si="40"/>
        <v>14098.188642112082</v>
      </c>
      <c r="C358" s="7">
        <f t="shared" si="41"/>
        <v>65114.53195939469</v>
      </c>
      <c r="D358" s="7">
        <f t="shared" si="49"/>
        <v>79212.72060150678</v>
      </c>
    </row>
    <row r="359" spans="1:4" ht="12.75">
      <c r="A359" s="10">
        <f t="shared" si="48"/>
        <v>321</v>
      </c>
      <c r="B359" s="7">
        <f t="shared" si="40"/>
        <v>13786.181509806645</v>
      </c>
      <c r="C359" s="7">
        <f t="shared" si="41"/>
        <v>65426.53909170013</v>
      </c>
      <c r="D359" s="7">
        <f t="shared" si="49"/>
        <v>79212.72060150678</v>
      </c>
    </row>
    <row r="360" spans="1:4" ht="12.75">
      <c r="A360" s="10">
        <f t="shared" si="48"/>
        <v>322</v>
      </c>
      <c r="B360" s="7">
        <f aca="true" t="shared" si="50" ref="B360:B398">IF($D$27+0.5&gt;$A360,-IPMT($D$30,$A360,$D$27,$D$17,0,0),0)</f>
        <v>13472.679343325579</v>
      </c>
      <c r="C360" s="7">
        <f aca="true" t="shared" si="51" ref="C360:C398">IF($D$27+0.5&gt;$A360,-PPMT($D$30,$A360,$D$27,$D$17,0,0),0)</f>
        <v>65740.0412581812</v>
      </c>
      <c r="D360" s="7">
        <f t="shared" si="49"/>
        <v>79212.72060150678</v>
      </c>
    </row>
    <row r="361" spans="1:4" ht="12.75">
      <c r="A361" s="10">
        <f aca="true" t="shared" si="52" ref="A361:A376">$A360+1</f>
        <v>323</v>
      </c>
      <c r="B361" s="7">
        <f t="shared" si="50"/>
        <v>13157.674978963461</v>
      </c>
      <c r="C361" s="7">
        <f t="shared" si="51"/>
        <v>66055.0456225433</v>
      </c>
      <c r="D361" s="7">
        <f aca="true" t="shared" si="53" ref="D361:D376">SUM(B361:C361)</f>
        <v>79212.72060150676</v>
      </c>
    </row>
    <row r="362" spans="1:5" ht="12.75">
      <c r="A362" s="10">
        <f t="shared" si="52"/>
        <v>324</v>
      </c>
      <c r="B362" s="7">
        <f t="shared" si="50"/>
        <v>12841.161218688776</v>
      </c>
      <c r="C362" s="7">
        <f t="shared" si="51"/>
        <v>66371.559382818</v>
      </c>
      <c r="D362" s="7">
        <f t="shared" si="53"/>
        <v>79212.72060150678</v>
      </c>
      <c r="E362" s="16">
        <f>SUM(B351:B362)</f>
        <v>174655.31169160418</v>
      </c>
    </row>
    <row r="363" spans="1:4" ht="12.75">
      <c r="A363" s="10">
        <f t="shared" si="52"/>
        <v>325</v>
      </c>
      <c r="B363" s="7">
        <f t="shared" si="50"/>
        <v>12523.13082997944</v>
      </c>
      <c r="C363" s="7">
        <f t="shared" si="51"/>
        <v>66689.58977152732</v>
      </c>
      <c r="D363" s="7">
        <f t="shared" si="53"/>
        <v>79212.72060150676</v>
      </c>
    </row>
    <row r="364" spans="1:4" ht="12.75">
      <c r="A364" s="10">
        <f t="shared" si="52"/>
        <v>326</v>
      </c>
      <c r="B364" s="7">
        <f t="shared" si="50"/>
        <v>12203.576545657537</v>
      </c>
      <c r="C364" s="7">
        <f t="shared" si="51"/>
        <v>67009.14405584923</v>
      </c>
      <c r="D364" s="7">
        <f t="shared" si="53"/>
        <v>79212.72060150676</v>
      </c>
    </row>
    <row r="365" spans="1:4" ht="12.75">
      <c r="A365" s="10">
        <f t="shared" si="52"/>
        <v>327</v>
      </c>
      <c r="B365" s="7">
        <f t="shared" si="50"/>
        <v>11882.491063723262</v>
      </c>
      <c r="C365" s="7">
        <f t="shared" si="51"/>
        <v>67330.22953778351</v>
      </c>
      <c r="D365" s="7">
        <f t="shared" si="53"/>
        <v>79212.72060150678</v>
      </c>
    </row>
    <row r="366" spans="1:4" ht="12.75">
      <c r="A366" s="10">
        <f t="shared" si="52"/>
        <v>328</v>
      </c>
      <c r="B366" s="7">
        <f t="shared" si="50"/>
        <v>11559.867047188047</v>
      </c>
      <c r="C366" s="7">
        <f t="shared" si="51"/>
        <v>67652.85355431872</v>
      </c>
      <c r="D366" s="7">
        <f t="shared" si="53"/>
        <v>79212.72060150676</v>
      </c>
    </row>
    <row r="367" spans="1:4" ht="12.75">
      <c r="A367" s="10">
        <f t="shared" si="52"/>
        <v>329</v>
      </c>
      <c r="B367" s="7">
        <f t="shared" si="50"/>
        <v>11235.697123906939</v>
      </c>
      <c r="C367" s="7">
        <f t="shared" si="51"/>
        <v>67977.02347759983</v>
      </c>
      <c r="D367" s="7">
        <f t="shared" si="53"/>
        <v>79212.72060150676</v>
      </c>
    </row>
    <row r="368" spans="1:4" ht="12.75">
      <c r="A368" s="10">
        <f t="shared" si="52"/>
        <v>330</v>
      </c>
      <c r="B368" s="7">
        <f t="shared" si="50"/>
        <v>10909.973886410105</v>
      </c>
      <c r="C368" s="7">
        <f t="shared" si="51"/>
        <v>68302.74671509665</v>
      </c>
      <c r="D368" s="7">
        <f t="shared" si="53"/>
        <v>79212.72060150676</v>
      </c>
    </row>
    <row r="369" spans="1:4" ht="12.75">
      <c r="A369" s="10">
        <f t="shared" si="52"/>
        <v>331</v>
      </c>
      <c r="B369" s="7">
        <f t="shared" si="50"/>
        <v>10582.6898917336</v>
      </c>
      <c r="C369" s="7">
        <f t="shared" si="51"/>
        <v>68630.03070977317</v>
      </c>
      <c r="D369" s="7">
        <f t="shared" si="53"/>
        <v>79212.72060150676</v>
      </c>
    </row>
    <row r="370" spans="1:4" ht="12.75">
      <c r="A370" s="10">
        <f t="shared" si="52"/>
        <v>332</v>
      </c>
      <c r="B370" s="7">
        <f t="shared" si="50"/>
        <v>10253.837661249268</v>
      </c>
      <c r="C370" s="7">
        <f t="shared" si="51"/>
        <v>68958.88294025749</v>
      </c>
      <c r="D370" s="7">
        <f t="shared" si="53"/>
        <v>79212.72060150676</v>
      </c>
    </row>
    <row r="371" spans="1:4" ht="12.75">
      <c r="A371" s="10">
        <f t="shared" si="52"/>
        <v>333</v>
      </c>
      <c r="B371" s="7">
        <f t="shared" si="50"/>
        <v>9923.409680493867</v>
      </c>
      <c r="C371" s="7">
        <f t="shared" si="51"/>
        <v>69289.3109210129</v>
      </c>
      <c r="D371" s="7">
        <f t="shared" si="53"/>
        <v>79212.72060150676</v>
      </c>
    </row>
    <row r="372" spans="1:4" ht="12.75">
      <c r="A372" s="10">
        <f t="shared" si="52"/>
        <v>334</v>
      </c>
      <c r="B372" s="7">
        <f t="shared" si="50"/>
        <v>9591.39839899735</v>
      </c>
      <c r="C372" s="7">
        <f t="shared" si="51"/>
        <v>69621.32220250943</v>
      </c>
      <c r="D372" s="7">
        <f t="shared" si="53"/>
        <v>79212.72060150678</v>
      </c>
    </row>
    <row r="373" spans="1:4" ht="12.75">
      <c r="A373" s="10">
        <f t="shared" si="52"/>
        <v>335</v>
      </c>
      <c r="B373" s="7">
        <f t="shared" si="50"/>
        <v>9257.796230110325</v>
      </c>
      <c r="C373" s="7">
        <f t="shared" si="51"/>
        <v>69954.92437139645</v>
      </c>
      <c r="D373" s="7">
        <f t="shared" si="53"/>
        <v>79212.72060150678</v>
      </c>
    </row>
    <row r="374" spans="1:5" ht="12.75">
      <c r="A374" s="10">
        <f t="shared" si="52"/>
        <v>336</v>
      </c>
      <c r="B374" s="7">
        <f t="shared" si="50"/>
        <v>8922.595550830718</v>
      </c>
      <c r="C374" s="7">
        <f t="shared" si="51"/>
        <v>70290.12505067606</v>
      </c>
      <c r="D374" s="7">
        <f t="shared" si="53"/>
        <v>79212.72060150678</v>
      </c>
      <c r="E374" s="16">
        <f>SUM(B363:B374)</f>
        <v>128846.46391028046</v>
      </c>
    </row>
    <row r="375" spans="1:4" ht="12.75">
      <c r="A375" s="10">
        <f t="shared" si="52"/>
        <v>337</v>
      </c>
      <c r="B375" s="7">
        <f t="shared" si="50"/>
        <v>8585.78870162956</v>
      </c>
      <c r="C375" s="7">
        <f t="shared" si="51"/>
        <v>70626.9318998772</v>
      </c>
      <c r="D375" s="7">
        <f t="shared" si="53"/>
        <v>79212.72060150676</v>
      </c>
    </row>
    <row r="376" spans="1:4" ht="12.75">
      <c r="A376" s="10">
        <f t="shared" si="52"/>
        <v>338</v>
      </c>
      <c r="B376" s="7">
        <f t="shared" si="50"/>
        <v>8247.367986275982</v>
      </c>
      <c r="C376" s="7">
        <f t="shared" si="51"/>
        <v>70965.35261523079</v>
      </c>
      <c r="D376" s="7">
        <f t="shared" si="53"/>
        <v>79212.72060150676</v>
      </c>
    </row>
    <row r="377" spans="1:4" ht="12.75">
      <c r="A377" s="10">
        <f aca="true" t="shared" si="54" ref="A377:A392">$A376+1</f>
        <v>339</v>
      </c>
      <c r="B377" s="7">
        <f t="shared" si="50"/>
        <v>7907.325671661335</v>
      </c>
      <c r="C377" s="7">
        <f t="shared" si="51"/>
        <v>71305.39492984542</v>
      </c>
      <c r="D377" s="7">
        <f aca="true" t="shared" si="55" ref="D377:D392">SUM(B377:C377)</f>
        <v>79212.72060150676</v>
      </c>
    </row>
    <row r="378" spans="1:4" ht="12.75">
      <c r="A378" s="10">
        <f t="shared" si="54"/>
        <v>340</v>
      </c>
      <c r="B378" s="7">
        <f t="shared" si="50"/>
        <v>7565.6539876224915</v>
      </c>
      <c r="C378" s="7">
        <f t="shared" si="51"/>
        <v>71647.06661388428</v>
      </c>
      <c r="D378" s="7">
        <f t="shared" si="55"/>
        <v>79212.72060150676</v>
      </c>
    </row>
    <row r="379" spans="1:4" ht="12.75">
      <c r="A379" s="10">
        <f t="shared" si="54"/>
        <v>341</v>
      </c>
      <c r="B379" s="7">
        <f t="shared" si="50"/>
        <v>7222.345126764296</v>
      </c>
      <c r="C379" s="7">
        <f t="shared" si="51"/>
        <v>71990.37547474247</v>
      </c>
      <c r="D379" s="7">
        <f t="shared" si="55"/>
        <v>79212.72060150676</v>
      </c>
    </row>
    <row r="380" spans="1:4" ht="12.75">
      <c r="A380" s="10">
        <f t="shared" si="54"/>
        <v>342</v>
      </c>
      <c r="B380" s="7">
        <f t="shared" si="50"/>
        <v>6877.391244281156</v>
      </c>
      <c r="C380" s="7">
        <f t="shared" si="51"/>
        <v>72335.32935722561</v>
      </c>
      <c r="D380" s="7">
        <f t="shared" si="55"/>
        <v>79212.72060150676</v>
      </c>
    </row>
    <row r="381" spans="1:4" ht="12.75">
      <c r="A381" s="10">
        <f t="shared" si="54"/>
        <v>343</v>
      </c>
      <c r="B381" s="7">
        <f t="shared" si="50"/>
        <v>6530.784457777783</v>
      </c>
      <c r="C381" s="7">
        <f t="shared" si="51"/>
        <v>72681.93614372899</v>
      </c>
      <c r="D381" s="7">
        <f t="shared" si="55"/>
        <v>79212.72060150678</v>
      </c>
    </row>
    <row r="382" spans="1:4" ht="12.75">
      <c r="A382" s="10">
        <f t="shared" si="54"/>
        <v>344</v>
      </c>
      <c r="B382" s="7">
        <f t="shared" si="50"/>
        <v>6182.516847089082</v>
      </c>
      <c r="C382" s="7">
        <f t="shared" si="51"/>
        <v>73030.20375441769</v>
      </c>
      <c r="D382" s="7">
        <f t="shared" si="55"/>
        <v>79212.72060150676</v>
      </c>
    </row>
    <row r="383" spans="1:4" ht="12.75">
      <c r="A383" s="10">
        <f t="shared" si="54"/>
        <v>345</v>
      </c>
      <c r="B383" s="7">
        <f t="shared" si="50"/>
        <v>5832.580454099163</v>
      </c>
      <c r="C383" s="7">
        <f t="shared" si="51"/>
        <v>73380.1401474076</v>
      </c>
      <c r="D383" s="7">
        <f t="shared" si="55"/>
        <v>79212.72060150676</v>
      </c>
    </row>
    <row r="384" spans="1:4" ht="12.75">
      <c r="A384" s="10">
        <f t="shared" si="54"/>
        <v>346</v>
      </c>
      <c r="B384" s="7">
        <f t="shared" si="50"/>
        <v>5480.967282559501</v>
      </c>
      <c r="C384" s="7">
        <f t="shared" si="51"/>
        <v>73731.75331894726</v>
      </c>
      <c r="D384" s="7">
        <f t="shared" si="55"/>
        <v>79212.72060150676</v>
      </c>
    </row>
    <row r="385" spans="1:4" ht="12.75">
      <c r="A385" s="10">
        <f t="shared" si="54"/>
        <v>347</v>
      </c>
      <c r="B385" s="7">
        <f t="shared" si="50"/>
        <v>5127.669297906212</v>
      </c>
      <c r="C385" s="7">
        <f t="shared" si="51"/>
        <v>74085.05130360056</v>
      </c>
      <c r="D385" s="7">
        <f t="shared" si="55"/>
        <v>79212.72060150676</v>
      </c>
    </row>
    <row r="386" spans="1:5" ht="12.75">
      <c r="A386" s="10">
        <f t="shared" si="54"/>
        <v>348</v>
      </c>
      <c r="B386" s="7">
        <f t="shared" si="50"/>
        <v>4772.67842707646</v>
      </c>
      <c r="C386" s="7">
        <f t="shared" si="51"/>
        <v>74440.0421744303</v>
      </c>
      <c r="D386" s="7">
        <f t="shared" si="55"/>
        <v>79212.72060150676</v>
      </c>
      <c r="E386" s="16">
        <f>SUM(B375:B386)</f>
        <v>80333.06948474303</v>
      </c>
    </row>
    <row r="387" spans="1:4" ht="12.75">
      <c r="A387" s="10">
        <f t="shared" si="54"/>
        <v>349</v>
      </c>
      <c r="B387" s="7">
        <f t="shared" si="50"/>
        <v>4415.986558323982</v>
      </c>
      <c r="C387" s="7">
        <f t="shared" si="51"/>
        <v>74796.73404318279</v>
      </c>
      <c r="D387" s="7">
        <f t="shared" si="55"/>
        <v>79212.72060150678</v>
      </c>
    </row>
    <row r="388" spans="1:4" ht="12.75">
      <c r="A388" s="10">
        <f t="shared" si="54"/>
        <v>350</v>
      </c>
      <c r="B388" s="7">
        <f t="shared" si="50"/>
        <v>4057.585541033731</v>
      </c>
      <c r="C388" s="7">
        <f t="shared" si="51"/>
        <v>75155.13506047304</v>
      </c>
      <c r="D388" s="7">
        <f t="shared" si="55"/>
        <v>79212.72060150676</v>
      </c>
    </row>
    <row r="389" spans="1:4" ht="12.75">
      <c r="A389" s="10">
        <f t="shared" si="54"/>
        <v>351</v>
      </c>
      <c r="B389" s="7">
        <f t="shared" si="50"/>
        <v>3697.467185535631</v>
      </c>
      <c r="C389" s="7">
        <f t="shared" si="51"/>
        <v>75515.25341597115</v>
      </c>
      <c r="D389" s="7">
        <f t="shared" si="55"/>
        <v>79212.72060150678</v>
      </c>
    </row>
    <row r="390" spans="1:4" ht="12.75">
      <c r="A390" s="10">
        <f t="shared" si="54"/>
        <v>352</v>
      </c>
      <c r="B390" s="7">
        <f t="shared" si="50"/>
        <v>3335.6232629174356</v>
      </c>
      <c r="C390" s="7">
        <f t="shared" si="51"/>
        <v>75877.09733858933</v>
      </c>
      <c r="D390" s="7">
        <f t="shared" si="55"/>
        <v>79212.72060150676</v>
      </c>
    </row>
    <row r="391" spans="1:4" ht="12.75">
      <c r="A391" s="10">
        <f t="shared" si="54"/>
        <v>353</v>
      </c>
      <c r="B391" s="7">
        <f t="shared" si="50"/>
        <v>2972.0455048366953</v>
      </c>
      <c r="C391" s="7">
        <f t="shared" si="51"/>
        <v>76240.67509667008</v>
      </c>
      <c r="D391" s="7">
        <f t="shared" si="55"/>
        <v>79212.72060150678</v>
      </c>
    </row>
    <row r="392" spans="1:4" ht="12.75">
      <c r="A392" s="10">
        <f t="shared" si="54"/>
        <v>354</v>
      </c>
      <c r="B392" s="7">
        <f t="shared" si="50"/>
        <v>2606.7256033318176</v>
      </c>
      <c r="C392" s="7">
        <f t="shared" si="51"/>
        <v>76605.99499817495</v>
      </c>
      <c r="D392" s="7">
        <f t="shared" si="55"/>
        <v>79212.72060150676</v>
      </c>
    </row>
    <row r="393" spans="1:4" ht="12.75">
      <c r="A393" s="10">
        <f aca="true" t="shared" si="56" ref="A393:A398">$A392+1</f>
        <v>355</v>
      </c>
      <c r="B393" s="7">
        <f t="shared" si="50"/>
        <v>2239.6552106322292</v>
      </c>
      <c r="C393" s="7">
        <f t="shared" si="51"/>
        <v>76973.06539087453</v>
      </c>
      <c r="D393" s="7">
        <f aca="true" t="shared" si="57" ref="D393:D398">SUM(B393:C393)</f>
        <v>79212.72060150676</v>
      </c>
    </row>
    <row r="394" spans="1:4" ht="12.75">
      <c r="A394" s="10">
        <f t="shared" si="56"/>
        <v>356</v>
      </c>
      <c r="B394" s="7">
        <f t="shared" si="50"/>
        <v>1870.8259389676218</v>
      </c>
      <c r="C394" s="7">
        <f t="shared" si="51"/>
        <v>77341.89466253915</v>
      </c>
      <c r="D394" s="7">
        <f t="shared" si="57"/>
        <v>79212.72060150678</v>
      </c>
    </row>
    <row r="395" spans="1:4" ht="12.75">
      <c r="A395" s="10">
        <f t="shared" si="56"/>
        <v>357</v>
      </c>
      <c r="B395" s="7">
        <f t="shared" si="50"/>
        <v>1500.2293603762885</v>
      </c>
      <c r="C395" s="7">
        <f t="shared" si="51"/>
        <v>77712.49124113048</v>
      </c>
      <c r="D395" s="7">
        <f t="shared" si="57"/>
        <v>79212.72060150678</v>
      </c>
    </row>
    <row r="396" spans="1:4" ht="12.75">
      <c r="A396" s="10">
        <f t="shared" si="56"/>
        <v>358</v>
      </c>
      <c r="B396" s="7">
        <f t="shared" si="50"/>
        <v>1127.8570065125382</v>
      </c>
      <c r="C396" s="7">
        <f t="shared" si="51"/>
        <v>78084.86359499423</v>
      </c>
      <c r="D396" s="7">
        <f t="shared" si="57"/>
        <v>79212.72060150676</v>
      </c>
    </row>
    <row r="397" spans="1:4" ht="12.75">
      <c r="A397" s="10">
        <f t="shared" si="56"/>
        <v>359</v>
      </c>
      <c r="B397" s="7">
        <f t="shared" si="50"/>
        <v>753.7003684531907</v>
      </c>
      <c r="C397" s="7">
        <f t="shared" si="51"/>
        <v>78459.02023305358</v>
      </c>
      <c r="D397" s="7">
        <f t="shared" si="57"/>
        <v>79212.72060150678</v>
      </c>
    </row>
    <row r="398" spans="1:5" ht="12.75">
      <c r="A398" s="10">
        <f t="shared" si="56"/>
        <v>360</v>
      </c>
      <c r="B398" s="7">
        <f t="shared" si="50"/>
        <v>377.75089650314237</v>
      </c>
      <c r="C398" s="7">
        <f t="shared" si="51"/>
        <v>78834.96970500362</v>
      </c>
      <c r="D398" s="7">
        <f t="shared" si="57"/>
        <v>79212.72060150676</v>
      </c>
      <c r="E398" s="16">
        <f>SUM(B387:B398)</f>
        <v>28955.452437424305</v>
      </c>
    </row>
    <row r="399" ht="12.75">
      <c r="A399" s="10"/>
    </row>
    <row r="403" spans="2:5" ht="12.75">
      <c r="B403" s="7">
        <f>SUM(B39:B279)</f>
        <v>12688177.233541986</v>
      </c>
      <c r="C403" s="7">
        <f>SUM(C39:C279)</f>
        <v>6402088.431421142</v>
      </c>
      <c r="D403" s="7">
        <f>SUM(D39:D279)</f>
        <v>19090265.664963085</v>
      </c>
      <c r="E403" s="16">
        <f>SUM(E39:E279)</f>
        <v>12653599.147568295</v>
      </c>
    </row>
  </sheetData>
  <sheetProtection/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75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B2">
      <selection activeCell="B3" sqref="B3"/>
    </sheetView>
  </sheetViews>
  <sheetFormatPr defaultColWidth="11.421875" defaultRowHeight="12.75"/>
  <cols>
    <col min="1" max="1" width="11.421875" style="10" customWidth="1"/>
    <col min="2" max="2" width="16.421875" style="1" bestFit="1" customWidth="1"/>
    <col min="3" max="4" width="16.421875" style="1" customWidth="1"/>
    <col min="5" max="5" width="16.421875" style="1" bestFit="1" customWidth="1"/>
    <col min="6" max="6" width="17.421875" style="1" bestFit="1" customWidth="1"/>
  </cols>
  <sheetData>
    <row r="1" spans="1:6" ht="12.75">
      <c r="A1" s="10" t="str">
        <f>Blatt!A41</f>
        <v>Jahr</v>
      </c>
      <c r="B1" s="15" t="s">
        <v>52</v>
      </c>
      <c r="C1" s="15" t="s">
        <v>53</v>
      </c>
      <c r="D1" s="15" t="s">
        <v>54</v>
      </c>
      <c r="E1" s="15" t="s">
        <v>58</v>
      </c>
      <c r="F1" s="15" t="s">
        <v>60</v>
      </c>
    </row>
    <row r="2" spans="3:6" ht="12.75">
      <c r="C2" s="15" t="s">
        <v>27</v>
      </c>
      <c r="D2" s="15" t="s">
        <v>55</v>
      </c>
      <c r="E2" s="15" t="s">
        <v>30</v>
      </c>
      <c r="F2" s="52">
        <v>0.5</v>
      </c>
    </row>
    <row r="3" spans="1:6" ht="12.75">
      <c r="A3" s="51">
        <f>Blatt!A43</f>
        <v>1</v>
      </c>
      <c r="B3" s="50">
        <f>Blatt!B43</f>
        <v>1800000</v>
      </c>
      <c r="C3" s="50">
        <f>Blatt!E43</f>
        <v>775936.4194065565</v>
      </c>
      <c r="D3" s="50">
        <f>Blatt!D43</f>
        <v>600000</v>
      </c>
      <c r="E3" s="50">
        <f>Blatt!G43</f>
        <v>424063.5805934435</v>
      </c>
      <c r="F3" s="50">
        <f>IF(A3="","",(E3*F$2))</f>
        <v>212031.79029672174</v>
      </c>
    </row>
    <row r="4" spans="1:6" ht="12.75">
      <c r="A4" s="51">
        <f>Blatt!A44</f>
        <v>2</v>
      </c>
      <c r="B4" s="50">
        <f>Blatt!B44</f>
        <v>1800000</v>
      </c>
      <c r="C4" s="50">
        <f>Blatt!E44</f>
        <v>765627.106777535</v>
      </c>
      <c r="D4" s="50">
        <f>Blatt!D44</f>
        <v>600000</v>
      </c>
      <c r="E4" s="50">
        <f>Blatt!G44</f>
        <v>434372.89322246495</v>
      </c>
      <c r="F4" s="50">
        <f aca="true" t="shared" si="0" ref="F4:F32">IF(A4="","",(E4*F$2))</f>
        <v>217186.44661123247</v>
      </c>
    </row>
    <row r="5" spans="1:6" ht="12.75">
      <c r="A5" s="51">
        <f>Blatt!A45</f>
        <v>3</v>
      </c>
      <c r="B5" s="50">
        <f>Blatt!B45</f>
        <v>1800000</v>
      </c>
      <c r="C5" s="50">
        <f>Blatt!E45</f>
        <v>754709.1340702671</v>
      </c>
      <c r="D5" s="50">
        <f>Blatt!D45</f>
        <v>600000</v>
      </c>
      <c r="E5" s="50">
        <f>Blatt!G45</f>
        <v>445290.86592973303</v>
      </c>
      <c r="F5" s="50">
        <f t="shared" si="0"/>
        <v>222645.43296486652</v>
      </c>
    </row>
    <row r="6" spans="1:6" ht="12.75">
      <c r="A6" s="51">
        <f>Blatt!A46</f>
        <v>4</v>
      </c>
      <c r="B6" s="50">
        <f>Blatt!B46</f>
        <v>1800000</v>
      </c>
      <c r="C6" s="50">
        <f>Blatt!E46</f>
        <v>743146.5660964249</v>
      </c>
      <c r="D6" s="50">
        <f>Blatt!D46</f>
        <v>600000</v>
      </c>
      <c r="E6" s="50">
        <f>Blatt!G46</f>
        <v>456853.43390357494</v>
      </c>
      <c r="F6" s="50">
        <f t="shared" si="0"/>
        <v>228426.71695178747</v>
      </c>
    </row>
    <row r="7" spans="1:6" ht="12.75">
      <c r="A7" s="51">
        <f>Blatt!A47</f>
        <v>5</v>
      </c>
      <c r="B7" s="50">
        <f>Blatt!B47</f>
        <v>1800000</v>
      </c>
      <c r="C7" s="50">
        <f>Blatt!E47</f>
        <v>730901.3460602252</v>
      </c>
      <c r="D7" s="50">
        <f>Blatt!D47</f>
        <v>600000</v>
      </c>
      <c r="E7" s="50">
        <f>Blatt!G47</f>
        <v>469098.6539397747</v>
      </c>
      <c r="F7" s="50">
        <f t="shared" si="0"/>
        <v>234549.32696988736</v>
      </c>
    </row>
    <row r="8" spans="1:6" ht="12.75">
      <c r="A8" s="51">
        <f>Blatt!A48</f>
        <v>6</v>
      </c>
      <c r="B8" s="50">
        <f>Blatt!B48</f>
        <v>1800000</v>
      </c>
      <c r="C8" s="50">
        <f>Blatt!E48</f>
        <v>717933.1702990822</v>
      </c>
      <c r="D8" s="50">
        <f>Blatt!D48</f>
        <v>600000</v>
      </c>
      <c r="E8" s="50">
        <f>Blatt!G48</f>
        <v>482066.82970091794</v>
      </c>
      <c r="F8" s="50">
        <f t="shared" si="0"/>
        <v>241033.41485045897</v>
      </c>
    </row>
    <row r="9" spans="1:6" ht="12.75">
      <c r="A9" s="51">
        <f>Blatt!A49</f>
        <v>7</v>
      </c>
      <c r="B9" s="50">
        <f>Blatt!B49</f>
        <v>1800000</v>
      </c>
      <c r="C9" s="50">
        <f>Blatt!E49</f>
        <v>704199.3556289712</v>
      </c>
      <c r="D9" s="50">
        <f>Blatt!D49</f>
        <v>600000</v>
      </c>
      <c r="E9" s="50">
        <f>Blatt!G49</f>
        <v>495800.64437102876</v>
      </c>
      <c r="F9" s="50">
        <f t="shared" si="0"/>
        <v>247900.32218551438</v>
      </c>
    </row>
    <row r="10" spans="1:6" ht="12.75">
      <c r="A10" s="51">
        <f>Blatt!A50</f>
        <v>8</v>
      </c>
      <c r="B10" s="50">
        <f>Blatt!B50</f>
        <v>1800000</v>
      </c>
      <c r="C10" s="50">
        <f>Blatt!E50</f>
        <v>689654.698857884</v>
      </c>
      <c r="D10" s="50">
        <f>Blatt!D50</f>
        <v>600000</v>
      </c>
      <c r="E10" s="50">
        <f>Blatt!G50</f>
        <v>510345.3011421161</v>
      </c>
      <c r="F10" s="50">
        <f t="shared" si="0"/>
        <v>255172.65057105804</v>
      </c>
    </row>
    <row r="11" spans="1:6" ht="12.75">
      <c r="A11" s="51">
        <f>Blatt!A51</f>
        <v>9</v>
      </c>
      <c r="B11" s="50">
        <f>Blatt!B51</f>
        <v>1800000</v>
      </c>
      <c r="C11" s="50">
        <f>Blatt!E51</f>
        <v>674251.3280049833</v>
      </c>
      <c r="D11" s="50">
        <f>Blatt!D51</f>
        <v>600000</v>
      </c>
      <c r="E11" s="50">
        <f>Blatt!G51</f>
        <v>525748.6719950167</v>
      </c>
      <c r="F11" s="50">
        <f t="shared" si="0"/>
        <v>262874.3359975084</v>
      </c>
    </row>
    <row r="12" spans="1:6" ht="12.75">
      <c r="A12" s="51">
        <f>Blatt!A52</f>
        <v>10</v>
      </c>
      <c r="B12" s="50">
        <f>Blatt!B52</f>
        <v>1800000</v>
      </c>
      <c r="C12" s="50">
        <f>Blatt!E52</f>
        <v>657938.5447357594</v>
      </c>
      <c r="D12" s="50">
        <f>Blatt!D52</f>
        <v>600000</v>
      </c>
      <c r="E12" s="50">
        <f>Blatt!G52</f>
        <v>542061.4552642405</v>
      </c>
      <c r="F12" s="50">
        <f t="shared" si="0"/>
        <v>271030.72763212025</v>
      </c>
    </row>
    <row r="13" spans="1:6" ht="12.75">
      <c r="A13" s="51">
        <f>Blatt!A53</f>
        <v>11</v>
      </c>
      <c r="B13" s="50">
        <f>Blatt!B53</f>
        <v>1800000</v>
      </c>
      <c r="C13" s="50">
        <f>Blatt!E53</f>
        <v>640662.6574945871</v>
      </c>
      <c r="D13" s="50">
        <f>Blatt!D53</f>
        <v>600000</v>
      </c>
      <c r="E13" s="50">
        <f>Blatt!G53</f>
        <v>559337.3425054129</v>
      </c>
      <c r="F13" s="50">
        <f t="shared" si="0"/>
        <v>279668.67125270644</v>
      </c>
    </row>
    <row r="14" spans="1:6" ht="12.75">
      <c r="A14" s="51">
        <f>Blatt!A54</f>
        <v>12</v>
      </c>
      <c r="B14" s="50">
        <f>Blatt!B54</f>
        <v>1800000</v>
      </c>
      <c r="C14" s="50">
        <f>Blatt!E54</f>
        <v>622366.8047854563</v>
      </c>
      <c r="D14" s="50">
        <f>Blatt!D54</f>
        <v>600000</v>
      </c>
      <c r="E14" s="50">
        <f>Blatt!G54</f>
        <v>577633.1952145437</v>
      </c>
      <c r="F14" s="50">
        <f t="shared" si="0"/>
        <v>288816.59760727186</v>
      </c>
    </row>
    <row r="15" spans="1:6" ht="12.75">
      <c r="A15" s="51">
        <f>Blatt!A55</f>
        <v>13</v>
      </c>
      <c r="B15" s="50">
        <f>Blatt!B55</f>
        <v>1800000</v>
      </c>
      <c r="C15" s="50">
        <f>Blatt!E55</f>
        <v>602990.7680192254</v>
      </c>
      <c r="D15" s="50">
        <f>Blatt!D55</f>
        <v>600000</v>
      </c>
      <c r="E15" s="50">
        <f>Blatt!G55</f>
        <v>597009.2319807746</v>
      </c>
      <c r="F15" s="50">
        <f t="shared" si="0"/>
        <v>298504.6159903873</v>
      </c>
    </row>
    <row r="16" spans="1:6" ht="12.75">
      <c r="A16" s="51">
        <f>Blatt!A56</f>
        <v>14</v>
      </c>
      <c r="B16" s="50">
        <f>Blatt!B56</f>
        <v>1800000</v>
      </c>
      <c r="C16" s="50">
        <f>Blatt!E56</f>
        <v>582470.7733114102</v>
      </c>
      <c r="D16" s="50">
        <f>Blatt!D56</f>
        <v>600000</v>
      </c>
      <c r="E16" s="50">
        <f>Blatt!G56</f>
        <v>617529.2266885899</v>
      </c>
      <c r="F16" s="50">
        <f t="shared" si="0"/>
        <v>308764.61334429495</v>
      </c>
    </row>
    <row r="17" spans="1:6" ht="12.75">
      <c r="A17" s="51">
        <f>Blatt!A57</f>
        <v>15</v>
      </c>
      <c r="B17" s="50">
        <f>Blatt!B57</f>
        <v>1800000</v>
      </c>
      <c r="C17" s="50">
        <f>Blatt!E57</f>
        <v>560739.2815781464</v>
      </c>
      <c r="D17" s="50">
        <f>Blatt!D57</f>
        <v>600000</v>
      </c>
      <c r="E17" s="50">
        <f>Blatt!G57</f>
        <v>639260.7184218536</v>
      </c>
      <c r="F17" s="50">
        <f t="shared" si="0"/>
        <v>319630.3592109268</v>
      </c>
    </row>
    <row r="18" spans="1:6" ht="12.75">
      <c r="A18" s="51">
        <f>Blatt!A58</f>
        <v>16</v>
      </c>
      <c r="B18" s="50">
        <f>Blatt!B58</f>
        <v>1800000</v>
      </c>
      <c r="C18" s="50">
        <f>Blatt!E58</f>
        <v>537724.7662394532</v>
      </c>
      <c r="D18" s="50">
        <f>Blatt!D58</f>
        <v>600000</v>
      </c>
      <c r="E18" s="50">
        <f>Blatt!G58</f>
        <v>662275.2337605469</v>
      </c>
      <c r="F18" s="50">
        <f t="shared" si="0"/>
        <v>331137.61688027345</v>
      </c>
    </row>
    <row r="19" spans="1:6" ht="12.75">
      <c r="A19" s="51">
        <f>Blatt!A59</f>
        <v>17</v>
      </c>
      <c r="B19" s="50">
        <f>Blatt!B59</f>
        <v>1800000</v>
      </c>
      <c r="C19" s="50">
        <f>Blatt!E59</f>
        <v>513351.47779813583</v>
      </c>
      <c r="D19" s="50">
        <f>Blatt!D59</f>
        <v>600000</v>
      </c>
      <c r="E19" s="50">
        <f>Blatt!G59</f>
        <v>686648.522201864</v>
      </c>
      <c r="F19" s="50">
        <f t="shared" si="0"/>
        <v>343324.261100932</v>
      </c>
    </row>
    <row r="20" spans="1:6" ht="12.75">
      <c r="A20" s="51">
        <f>Blatt!A60</f>
        <v>18</v>
      </c>
      <c r="B20" s="50">
        <f>Blatt!B60</f>
        <v>1800000</v>
      </c>
      <c r="C20" s="50">
        <f>Blatt!E60</f>
        <v>487539.19451946544</v>
      </c>
      <c r="D20" s="50">
        <f>Blatt!D60</f>
        <v>600000</v>
      </c>
      <c r="E20" s="50">
        <f>Blatt!G60</f>
        <v>712460.8054805347</v>
      </c>
      <c r="F20" s="50">
        <f t="shared" si="0"/>
        <v>356230.40274026734</v>
      </c>
    </row>
    <row r="21" spans="1:6" ht="12.75">
      <c r="A21" s="51">
        <f>Blatt!A61</f>
        <v>19</v>
      </c>
      <c r="B21" s="50">
        <f>Blatt!B61</f>
        <v>1800000</v>
      </c>
      <c r="C21" s="50">
        <f>Blatt!E61</f>
        <v>460202.95839102956</v>
      </c>
      <c r="D21" s="50">
        <f>Blatt!D61</f>
        <v>600000</v>
      </c>
      <c r="E21" s="50">
        <f>Blatt!G61</f>
        <v>739797.0416089704</v>
      </c>
      <c r="F21" s="50">
        <f t="shared" si="0"/>
        <v>369898.5208044852</v>
      </c>
    </row>
    <row r="22" spans="1:6" ht="12.75">
      <c r="A22" s="51">
        <f>Blatt!A62</f>
        <v>20</v>
      </c>
      <c r="B22" s="50">
        <f>Blatt!B62</f>
        <v>1800000</v>
      </c>
      <c r="C22" s="50">
        <f>Blatt!E62</f>
        <v>431252.79549369693</v>
      </c>
      <c r="D22" s="50">
        <f>Blatt!D62</f>
        <v>600000</v>
      </c>
      <c r="E22" s="50">
        <f>Blatt!G62</f>
        <v>768747.2045063031</v>
      </c>
      <c r="F22" s="50">
        <f t="shared" si="0"/>
        <v>384373.60225315153</v>
      </c>
    </row>
    <row r="23" spans="1:6" ht="12.75">
      <c r="A23" s="51">
        <f>Blatt!A63</f>
        <v>21</v>
      </c>
      <c r="B23" s="50">
        <f>Blatt!B63</f>
        <v>1800000</v>
      </c>
      <c r="C23" s="50">
        <f>Blatt!E63</f>
        <v>400593.419863331</v>
      </c>
      <c r="D23" s="50">
        <f>Blatt!D63</f>
        <v>600000</v>
      </c>
      <c r="E23" s="50">
        <f>Blatt!G63</f>
        <v>799406.580136669</v>
      </c>
      <c r="F23" s="50">
        <f t="shared" si="0"/>
        <v>399703.2900683345</v>
      </c>
    </row>
    <row r="24" spans="1:6" ht="12.75">
      <c r="A24" s="51">
        <f>Blatt!A64</f>
        <v>22</v>
      </c>
      <c r="B24" s="50">
        <f>Blatt!B64</f>
        <v>1800000</v>
      </c>
      <c r="C24" s="50">
        <f>Blatt!E64</f>
        <v>368123.9198685492</v>
      </c>
      <c r="D24" s="50">
        <f>Blatt!D64</f>
        <v>600000</v>
      </c>
      <c r="E24" s="50">
        <f>Blatt!G64</f>
        <v>831876.0801314508</v>
      </c>
      <c r="F24" s="50">
        <f t="shared" si="0"/>
        <v>415938.0400657254</v>
      </c>
    </row>
    <row r="25" spans="1:6" ht="12.75">
      <c r="A25" s="51">
        <f>Blatt!A65</f>
        <v>23</v>
      </c>
      <c r="B25" s="50">
        <f>Blatt!B65</f>
        <v>1800000</v>
      </c>
      <c r="C25" s="50">
        <f>Blatt!E65</f>
        <v>333737.4260722777</v>
      </c>
      <c r="D25" s="50">
        <f>Blatt!D65</f>
        <v>600000</v>
      </c>
      <c r="E25" s="50">
        <f>Blatt!G65</f>
        <v>866262.5739277223</v>
      </c>
      <c r="F25" s="50">
        <f t="shared" si="0"/>
        <v>433131.28696386114</v>
      </c>
    </row>
    <row r="26" spans="1:6" ht="12.75">
      <c r="A26" s="51">
        <f>Blatt!A66</f>
        <v>24</v>
      </c>
      <c r="B26" s="50">
        <f>Blatt!B66</f>
        <v>1800000</v>
      </c>
      <c r="C26" s="50">
        <f>Blatt!E66</f>
        <v>297320.7594839086</v>
      </c>
      <c r="D26" s="50">
        <f>Blatt!D66</f>
        <v>600000</v>
      </c>
      <c r="E26" s="50">
        <f>Blatt!G66</f>
        <v>902679.2405160915</v>
      </c>
      <c r="F26" s="50">
        <f t="shared" si="0"/>
        <v>451339.62025804573</v>
      </c>
    </row>
    <row r="27" spans="1:6" ht="12.75">
      <c r="A27" s="51">
        <f>Blatt!A67</f>
        <v>25</v>
      </c>
      <c r="B27" s="50">
        <f>Blatt!B67</f>
        <v>1800000</v>
      </c>
      <c r="C27" s="50">
        <f>Blatt!E67</f>
        <v>258754.05904432407</v>
      </c>
      <c r="D27" s="50">
        <f>Blatt!D67</f>
        <v>600000</v>
      </c>
      <c r="E27" s="50">
        <f>Blatt!G67</f>
        <v>941245.9409556759</v>
      </c>
      <c r="F27" s="50">
        <f t="shared" si="0"/>
        <v>470622.97047783795</v>
      </c>
    </row>
    <row r="28" spans="1:6" ht="12.75">
      <c r="A28" s="51">
        <f>Blatt!A68</f>
        <v>26</v>
      </c>
      <c r="B28" s="50">
        <f>Blatt!B68</f>
        <v>1800000</v>
      </c>
      <c r="C28" s="50">
        <f>Blatt!E68</f>
        <v>217910.38711769853</v>
      </c>
      <c r="D28" s="50">
        <f>Blatt!D68</f>
        <v>600000</v>
      </c>
      <c r="E28" s="50">
        <f>Blatt!G68</f>
        <v>982089.6128823014</v>
      </c>
      <c r="F28" s="50">
        <f t="shared" si="0"/>
        <v>491044.8064411507</v>
      </c>
    </row>
    <row r="29" spans="1:6" ht="12.75">
      <c r="A29" s="51">
        <f>Blatt!A69</f>
        <v>27</v>
      </c>
      <c r="B29" s="50">
        <f>Blatt!B69</f>
        <v>1800000</v>
      </c>
      <c r="C29" s="50">
        <f>Blatt!E69</f>
        <v>174655.31169160418</v>
      </c>
      <c r="D29" s="50">
        <f>Blatt!D69</f>
        <v>600000</v>
      </c>
      <c r="E29" s="50">
        <f>Blatt!G69</f>
        <v>1025344.6883083958</v>
      </c>
      <c r="F29" s="50">
        <f t="shared" si="0"/>
        <v>512672.3441541979</v>
      </c>
    </row>
    <row r="30" spans="1:6" ht="12.75">
      <c r="A30" s="51">
        <f>Blatt!A70</f>
        <v>28</v>
      </c>
      <c r="B30" s="50">
        <f>Blatt!B70</f>
        <v>1800000</v>
      </c>
      <c r="C30" s="50">
        <f>Blatt!E70</f>
        <v>128846.46391028046</v>
      </c>
      <c r="D30" s="50">
        <f>Blatt!D70</f>
        <v>600000</v>
      </c>
      <c r="E30" s="50">
        <f>Blatt!G70</f>
        <v>1071153.5360897195</v>
      </c>
      <c r="F30" s="50">
        <f t="shared" si="0"/>
        <v>535576.7680448598</v>
      </c>
    </row>
    <row r="31" spans="1:6" ht="12.75">
      <c r="A31" s="51">
        <f>Blatt!A71</f>
        <v>29</v>
      </c>
      <c r="B31" s="50">
        <f>Blatt!B71</f>
        <v>1800000</v>
      </c>
      <c r="C31" s="50">
        <f>Blatt!E71</f>
        <v>80333.06948474303</v>
      </c>
      <c r="D31" s="50">
        <f>Blatt!D71</f>
        <v>600000</v>
      </c>
      <c r="E31" s="50">
        <f>Blatt!G71</f>
        <v>1119666.930515257</v>
      </c>
      <c r="F31" s="50">
        <f t="shared" si="0"/>
        <v>559833.4652576285</v>
      </c>
    </row>
    <row r="32" spans="1:6" ht="12.75">
      <c r="A32" s="51">
        <f>Blatt!A72</f>
        <v>30</v>
      </c>
      <c r="B32" s="50">
        <f>Blatt!B72</f>
        <v>1800000</v>
      </c>
      <c r="C32" s="50">
        <f>Blatt!E72</f>
        <v>28955.452437424305</v>
      </c>
      <c r="D32" s="50">
        <f>Blatt!D72</f>
        <v>600000</v>
      </c>
      <c r="E32" s="50">
        <f>Blatt!G72</f>
        <v>1171044.5475625757</v>
      </c>
      <c r="F32" s="50">
        <f t="shared" si="0"/>
        <v>585522.2737812878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="75" zoomScaleNormal="75" zoomScalePageLayoutView="0" workbookViewId="0" topLeftCell="A1">
      <selection activeCell="O2" sqref="O2"/>
    </sheetView>
  </sheetViews>
  <sheetFormatPr defaultColWidth="11.421875" defaultRowHeight="12.75"/>
  <cols>
    <col min="1" max="1" width="5.00390625" style="0" customWidth="1"/>
    <col min="2" max="2" width="17.28125" style="1" customWidth="1"/>
    <col min="3" max="3" width="17.421875" style="1" customWidth="1"/>
    <col min="4" max="4" width="19.28125" style="1" customWidth="1"/>
    <col min="5" max="5" width="24.00390625" style="1" bestFit="1" customWidth="1"/>
    <col min="6" max="6" width="18.8515625" style="1" bestFit="1" customWidth="1"/>
    <col min="7" max="7" width="16.7109375" style="1" customWidth="1"/>
    <col min="8" max="8" width="16.57421875" style="1" customWidth="1"/>
    <col min="9" max="10" width="15.7109375" style="1" customWidth="1"/>
    <col min="11" max="11" width="18.28125" style="1" customWidth="1"/>
    <col min="12" max="12" width="16.7109375" style="0" customWidth="1"/>
    <col min="13" max="14" width="14.7109375" style="0" bestFit="1" customWidth="1"/>
  </cols>
  <sheetData>
    <row r="1" spans="1:14" ht="12.75">
      <c r="A1" s="49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49"/>
      <c r="M1" s="49"/>
      <c r="N1" s="49"/>
    </row>
    <row r="2" spans="1:14" ht="13.5" thickBo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7"/>
      <c r="M2" s="87"/>
      <c r="N2" s="89" t="s">
        <v>84</v>
      </c>
    </row>
    <row r="3" spans="1:14" ht="12.75">
      <c r="A3" s="49"/>
      <c r="B3" s="56"/>
      <c r="C3" s="56"/>
      <c r="D3" s="56"/>
      <c r="E3" s="56"/>
      <c r="F3" s="56"/>
      <c r="G3" s="56"/>
      <c r="H3" s="56"/>
      <c r="I3" s="56"/>
      <c r="J3" s="56"/>
      <c r="K3" s="56"/>
      <c r="L3" s="49"/>
      <c r="M3" s="49"/>
      <c r="N3" s="49"/>
    </row>
    <row r="4" spans="1:14" ht="12.75">
      <c r="A4" s="49"/>
      <c r="B4" s="56"/>
      <c r="C4" s="56"/>
      <c r="D4" s="56"/>
      <c r="E4" s="56"/>
      <c r="F4" s="56"/>
      <c r="G4" s="56"/>
      <c r="H4" s="56"/>
      <c r="I4" s="56"/>
      <c r="J4" s="56"/>
      <c r="K4" s="56"/>
      <c r="L4" s="49"/>
      <c r="M4" s="49"/>
      <c r="N4" s="49"/>
    </row>
    <row r="5" spans="1:8" ht="12.75">
      <c r="A5" s="49" t="s">
        <v>50</v>
      </c>
      <c r="B5"/>
      <c r="C5"/>
      <c r="F5" s="16"/>
      <c r="G5"/>
      <c r="H5"/>
    </row>
    <row r="6" spans="1:8" ht="12.75">
      <c r="A6" s="49"/>
      <c r="B6"/>
      <c r="C6" s="82"/>
      <c r="D6" s="16"/>
      <c r="E6" s="16"/>
      <c r="F6" s="16"/>
      <c r="H6" s="5"/>
    </row>
    <row r="7" spans="1:11" ht="12.75">
      <c r="A7" s="49"/>
      <c r="B7" t="s">
        <v>70</v>
      </c>
      <c r="D7" s="22">
        <v>440</v>
      </c>
      <c r="E7" s="86"/>
      <c r="F7"/>
      <c r="G7" s="78" t="s">
        <v>72</v>
      </c>
      <c r="K7" s="32"/>
    </row>
    <row r="8" spans="2:11" ht="13.5" thickBot="1">
      <c r="B8" t="s">
        <v>64</v>
      </c>
      <c r="C8"/>
      <c r="D8" s="57">
        <f>D7*12</f>
        <v>5280</v>
      </c>
      <c r="E8" s="59">
        <v>0.015</v>
      </c>
      <c r="F8" s="16" t="s">
        <v>75</v>
      </c>
      <c r="G8"/>
      <c r="H8"/>
      <c r="I8" s="74"/>
      <c r="J8" s="74"/>
      <c r="K8" s="16"/>
    </row>
    <row r="9" spans="1:11" ht="13.5" thickTop="1">
      <c r="A9" s="49" t="s">
        <v>4</v>
      </c>
      <c r="B9"/>
      <c r="C9"/>
      <c r="F9" s="56"/>
      <c r="G9" t="s">
        <v>23</v>
      </c>
      <c r="H9" s="28"/>
      <c r="I9" s="75"/>
      <c r="J9" s="75"/>
      <c r="K9" s="16"/>
    </row>
    <row r="10" spans="2:11" ht="12.75">
      <c r="B10" t="s">
        <v>5</v>
      </c>
      <c r="C10"/>
      <c r="D10" s="22">
        <v>150000</v>
      </c>
      <c r="F10" s="56"/>
      <c r="G10"/>
      <c r="H10"/>
      <c r="I10" s="76"/>
      <c r="J10" s="76"/>
      <c r="K10" s="16"/>
    </row>
    <row r="11" spans="2:11" ht="12.75">
      <c r="B11" t="s">
        <v>6</v>
      </c>
      <c r="C11" s="31">
        <v>0.035</v>
      </c>
      <c r="D11" s="1">
        <f>C11*D10</f>
        <v>5250.000000000001</v>
      </c>
      <c r="F11" s="56"/>
      <c r="G11"/>
      <c r="H11"/>
      <c r="I11" s="75"/>
      <c r="J11" s="75"/>
      <c r="K11" s="16"/>
    </row>
    <row r="12" spans="2:11" ht="12.75">
      <c r="B12" t="s">
        <v>7</v>
      </c>
      <c r="C12" s="31">
        <v>0.011</v>
      </c>
      <c r="D12" s="1">
        <f>D10*C12</f>
        <v>1650</v>
      </c>
      <c r="F12" s="56"/>
      <c r="G12"/>
      <c r="H12"/>
      <c r="I12" s="77"/>
      <c r="J12" s="77"/>
      <c r="K12"/>
    </row>
    <row r="13" spans="2:8" ht="12.75">
      <c r="B13" t="s">
        <v>8</v>
      </c>
      <c r="C13" s="25">
        <v>0</v>
      </c>
      <c r="D13" s="1">
        <f>IF(C13=0,0,D10*0.036)</f>
        <v>0</v>
      </c>
      <c r="F13" s="16"/>
      <c r="G13"/>
      <c r="H13"/>
    </row>
    <row r="14" spans="2:10" ht="12.75">
      <c r="B14" t="s">
        <v>9</v>
      </c>
      <c r="C14"/>
      <c r="D14" s="22">
        <v>0</v>
      </c>
      <c r="E14" s="16">
        <f>SUM(D10:D14)</f>
        <v>156900</v>
      </c>
      <c r="F14"/>
      <c r="G14"/>
      <c r="H14" s="1" t="s">
        <v>69</v>
      </c>
      <c r="J14" s="1" t="s">
        <v>82</v>
      </c>
    </row>
    <row r="15" spans="2:10" ht="12.75">
      <c r="B15" t="s">
        <v>10</v>
      </c>
      <c r="C15"/>
      <c r="D15" s="22">
        <v>15000</v>
      </c>
      <c r="E15" s="16"/>
      <c r="F15"/>
      <c r="G15" s="63" t="s">
        <v>68</v>
      </c>
      <c r="H15" s="62">
        <f>(E21-E24)/D18</f>
        <v>0.030709714950552646</v>
      </c>
      <c r="I15" s="85" t="s">
        <v>79</v>
      </c>
      <c r="J15" s="62">
        <f>(E21+(-G30*I29)-E24)/D18</f>
        <v>0.030709714950552646</v>
      </c>
    </row>
    <row r="16" spans="2:10" ht="12.75">
      <c r="B16" t="s">
        <v>11</v>
      </c>
      <c r="C16"/>
      <c r="D16" s="48">
        <f>IF(C13=0.036,D13/6,0)</f>
        <v>0</v>
      </c>
      <c r="E16" s="16"/>
      <c r="F16"/>
      <c r="G16"/>
      <c r="H16" s="62">
        <f>($C39-($E24*($C39/$C30)))/$D18</f>
        <v>0.03511318022167637</v>
      </c>
      <c r="I16" s="85" t="s">
        <v>80</v>
      </c>
      <c r="J16" s="62">
        <f>($C39+(-G39*I29)-($E24*($C39/$C30)))/$D18</f>
        <v>0.03511318022167637</v>
      </c>
    </row>
    <row r="17" spans="2:10" ht="12.75">
      <c r="B17" t="s">
        <v>12</v>
      </c>
      <c r="C17"/>
      <c r="D17" s="22">
        <v>0</v>
      </c>
      <c r="E17" s="15"/>
      <c r="F17" s="1">
        <f>H12</f>
        <v>0</v>
      </c>
      <c r="G17" s="79" t="s">
        <v>73</v>
      </c>
      <c r="H17" s="62">
        <f>($C49-$E24*($C49/$C30))/$D18</f>
        <v>0.040750279143721035</v>
      </c>
      <c r="I17" s="85" t="s">
        <v>81</v>
      </c>
      <c r="J17" s="62">
        <f>($C49+(-G49*I29)-$E24*($C49/$C30))/$D18</f>
        <v>0.040750279143721035</v>
      </c>
    </row>
    <row r="18" spans="2:7" ht="13.5" thickBot="1">
      <c r="B18" s="5"/>
      <c r="C18" s="20" t="s">
        <v>4</v>
      </c>
      <c r="D18" s="57">
        <f>SUM(D10:D15)-D16-D17</f>
        <v>171900</v>
      </c>
      <c r="E18" s="56"/>
      <c r="F18" s="84">
        <v>70000</v>
      </c>
      <c r="G18" s="83" t="s">
        <v>78</v>
      </c>
    </row>
    <row r="19" spans="2:7" ht="14.25" thickBot="1" thickTop="1">
      <c r="B19" s="5"/>
      <c r="C19" s="30" t="s">
        <v>13</v>
      </c>
      <c r="D19" s="33">
        <v>0.4</v>
      </c>
      <c r="E19" s="16">
        <f>E14*D19</f>
        <v>62760</v>
      </c>
      <c r="F19" s="80">
        <f>SUM(F17:F18)</f>
        <v>70000</v>
      </c>
      <c r="G19" s="49" t="s">
        <v>47</v>
      </c>
    </row>
    <row r="20" spans="2:7" ht="13.5" thickTop="1">
      <c r="B20" s="64" t="s">
        <v>22</v>
      </c>
      <c r="C20" s="30"/>
      <c r="D20" s="59">
        <v>0.03</v>
      </c>
      <c r="E20" s="16"/>
      <c r="F20"/>
      <c r="G20"/>
    </row>
    <row r="21" spans="2:7" ht="12.75">
      <c r="B21" t="s">
        <v>14</v>
      </c>
      <c r="C21"/>
      <c r="E21" s="16">
        <f>D8</f>
        <v>5280</v>
      </c>
      <c r="F21"/>
      <c r="G21"/>
    </row>
    <row r="22" spans="2:7" ht="12.75">
      <c r="B22" s="58" t="s">
        <v>65</v>
      </c>
      <c r="C22" s="60">
        <v>67</v>
      </c>
      <c r="D22" s="1">
        <f>(D18-D15)*(1-D19)</f>
        <v>94140</v>
      </c>
      <c r="E22" s="17">
        <f>D22/C22</f>
        <v>1405.0746268656717</v>
      </c>
      <c r="F22"/>
      <c r="G22"/>
    </row>
    <row r="23" spans="2:7" ht="12.75">
      <c r="B23"/>
      <c r="C23" s="60">
        <v>10</v>
      </c>
      <c r="D23" s="1">
        <f>D15</f>
        <v>15000</v>
      </c>
      <c r="E23" s="17">
        <f>D23/C23</f>
        <v>1500</v>
      </c>
      <c r="F23" s="16">
        <f>SUM(E22:E23)</f>
        <v>2905.0746268656717</v>
      </c>
      <c r="G23"/>
    </row>
    <row r="24" spans="2:7" ht="12.75">
      <c r="B24" t="s">
        <v>16</v>
      </c>
      <c r="C24"/>
      <c r="E24" s="61">
        <v>1</v>
      </c>
      <c r="F24"/>
      <c r="G24"/>
    </row>
    <row r="25" spans="2:7" ht="12.75">
      <c r="B25"/>
      <c r="C25"/>
      <c r="E25" s="16"/>
      <c r="F25"/>
      <c r="G25"/>
    </row>
    <row r="26" spans="2:7" ht="13.5" thickBot="1">
      <c r="B26"/>
      <c r="C26"/>
      <c r="E26" s="18">
        <f>D8-E22-E23-E24</f>
        <v>2373.9253731343283</v>
      </c>
      <c r="F26" t="s">
        <v>18</v>
      </c>
      <c r="G26" s="18">
        <f>E21-E24</f>
        <v>5279</v>
      </c>
    </row>
    <row r="27" spans="3:8" ht="14.25" thickBot="1" thickTop="1">
      <c r="C27" s="10"/>
      <c r="D27" s="15"/>
      <c r="E27" s="15"/>
      <c r="F27"/>
      <c r="G27" s="16"/>
      <c r="H27" s="16"/>
    </row>
    <row r="28" spans="1:14" ht="13.5" thickBot="1">
      <c r="A28" s="65"/>
      <c r="B28" s="66"/>
      <c r="C28" s="66"/>
      <c r="D28" s="66"/>
      <c r="E28" s="66"/>
      <c r="F28" s="66"/>
      <c r="G28" s="67"/>
      <c r="H28" s="67"/>
      <c r="I28" s="68" t="s">
        <v>74</v>
      </c>
      <c r="J28" s="68"/>
      <c r="K28" s="66"/>
      <c r="L28" s="66"/>
      <c r="M28" s="66"/>
      <c r="N28" s="66"/>
    </row>
    <row r="29" spans="1:14" s="49" customFormat="1" ht="26.25" thickBot="1">
      <c r="A29" s="69" t="s">
        <v>66</v>
      </c>
      <c r="B29" s="70" t="s">
        <v>61</v>
      </c>
      <c r="C29" s="70" t="s">
        <v>52</v>
      </c>
      <c r="D29" s="71" t="s">
        <v>67</v>
      </c>
      <c r="E29" s="70" t="s">
        <v>15</v>
      </c>
      <c r="F29" s="70" t="s">
        <v>27</v>
      </c>
      <c r="G29" s="72" t="s">
        <v>63</v>
      </c>
      <c r="H29" s="72" t="s">
        <v>71</v>
      </c>
      <c r="I29" s="73">
        <v>0</v>
      </c>
      <c r="J29" s="73" t="s">
        <v>72</v>
      </c>
      <c r="K29" s="70" t="s">
        <v>46</v>
      </c>
      <c r="L29" s="70" t="s">
        <v>62</v>
      </c>
      <c r="M29" s="81" t="s">
        <v>76</v>
      </c>
      <c r="N29" s="81" t="s">
        <v>77</v>
      </c>
    </row>
    <row r="30" spans="1:14" ht="12.75">
      <c r="A30" s="10">
        <v>1</v>
      </c>
      <c r="B30" s="1">
        <f>D18-F19</f>
        <v>101900</v>
      </c>
      <c r="C30" s="1">
        <f>IF(B30=0,0,D$8)</f>
        <v>5280</v>
      </c>
      <c r="D30" s="1">
        <f>IF(C30="","",E$24)</f>
        <v>1</v>
      </c>
      <c r="E30" s="1">
        <f>IF(A30&lt;C$23+1,E$23,0)+IF(A30&lt;C$22+1,E$22,0)</f>
        <v>2905.0746268656717</v>
      </c>
      <c r="F30" s="1">
        <f>IF(D30=0,0,B30*D$20)</f>
        <v>3057</v>
      </c>
      <c r="G30" s="1">
        <f>IF(F30=0,0,C30-D30-E30-F30)</f>
        <v>-683.0746268656717</v>
      </c>
      <c r="H30" s="1">
        <f>IF(L30&gt;0,G30,"")</f>
        <v>-683.0746268656717</v>
      </c>
      <c r="I30" s="1">
        <f aca="true" t="shared" si="0" ref="I30:I61">IF(G30="","",G30*I$29)</f>
        <v>0</v>
      </c>
      <c r="J30" s="1">
        <f>IF(B30=0,0,(H$9*12))</f>
        <v>0</v>
      </c>
      <c r="K30" s="1">
        <f>IF(B30=0,0,C30-D30-I30-F30+J30)</f>
        <v>2222</v>
      </c>
      <c r="L30" s="1">
        <f aca="true" t="shared" si="1" ref="L30:L61">IF(B30&lt;K30,0,B30-K30)</f>
        <v>99678</v>
      </c>
      <c r="M30" s="1">
        <f>K30+F30</f>
        <v>5279</v>
      </c>
      <c r="N30" s="1">
        <f>M30+I30</f>
        <v>5279</v>
      </c>
    </row>
    <row r="31" spans="1:14" ht="12.75">
      <c r="A31" s="10">
        <f aca="true" t="shared" si="2" ref="A31:A62">IF(L30&gt;0,A30+1,"")</f>
        <v>2</v>
      </c>
      <c r="B31" s="1">
        <f aca="true" t="shared" si="3" ref="B31:B62">IF(L30&gt;0,L30,0)</f>
        <v>99678</v>
      </c>
      <c r="C31" s="1">
        <f>IF(B31=0,"",C30*(1+$E$8))</f>
        <v>5359.2</v>
      </c>
      <c r="D31" s="1">
        <f aca="true" t="shared" si="4" ref="D31:D74">IF(C31="","",E$24)</f>
        <v>1</v>
      </c>
      <c r="E31" s="1">
        <f aca="true" t="shared" si="5" ref="E31:E74">IF(A31&lt;C$23+1,E$23,0)+IF(A31&lt;C$22+1,E$22,0)</f>
        <v>2905.0746268656717</v>
      </c>
      <c r="F31" s="1">
        <f aca="true" t="shared" si="6" ref="F31:F74">IF(D31=0,0,B31*D$20)</f>
        <v>2990.3399999999997</v>
      </c>
      <c r="G31" s="1">
        <f aca="true" t="shared" si="7" ref="G31:G74">IF(F31=0,0,C31-D31-E31-F31)</f>
        <v>-537.2146268656716</v>
      </c>
      <c r="H31" s="1">
        <f>IF(L30&gt;0,G31+H30,"")</f>
        <v>-1220.2892537313433</v>
      </c>
      <c r="I31" s="1">
        <f t="shared" si="0"/>
        <v>0</v>
      </c>
      <c r="J31" s="1">
        <f aca="true" t="shared" si="8" ref="J31:J74">IF(B31=0,0,(H$9*12))</f>
        <v>0</v>
      </c>
      <c r="K31" s="1">
        <f aca="true" t="shared" si="9" ref="K31:K74">IF(B31=0,0,C31-D31-I31-F31+J31)</f>
        <v>2367.86</v>
      </c>
      <c r="L31" s="1">
        <f t="shared" si="1"/>
        <v>97310.14</v>
      </c>
      <c r="M31" s="1">
        <f aca="true" t="shared" si="10" ref="M31:M74">K31+F31</f>
        <v>5358.2</v>
      </c>
      <c r="N31" s="1">
        <f aca="true" t="shared" si="11" ref="N31:N74">M31+I31</f>
        <v>5358.2</v>
      </c>
    </row>
    <row r="32" spans="1:14" ht="12.75">
      <c r="A32" s="10">
        <f t="shared" si="2"/>
        <v>3</v>
      </c>
      <c r="B32" s="1">
        <f t="shared" si="3"/>
        <v>97310.14</v>
      </c>
      <c r="C32" s="1">
        <f aca="true" t="shared" si="12" ref="C32:C74">IF(B32=0,"",C31*(1+$E$8))</f>
        <v>5439.588</v>
      </c>
      <c r="D32" s="1">
        <f t="shared" si="4"/>
        <v>1</v>
      </c>
      <c r="E32" s="1">
        <f t="shared" si="5"/>
        <v>2905.0746268656717</v>
      </c>
      <c r="F32" s="1">
        <f t="shared" si="6"/>
        <v>2919.3042</v>
      </c>
      <c r="G32" s="1">
        <f t="shared" si="7"/>
        <v>-385.790826865672</v>
      </c>
      <c r="H32" s="1">
        <f aca="true" t="shared" si="13" ref="H32:H74">IF(L31&gt;0,G32+H31,"")</f>
        <v>-1606.0800805970152</v>
      </c>
      <c r="I32" s="1">
        <f t="shared" si="0"/>
        <v>0</v>
      </c>
      <c r="J32" s="1">
        <f t="shared" si="8"/>
        <v>0</v>
      </c>
      <c r="K32" s="1">
        <f t="shared" si="9"/>
        <v>2519.2837999999997</v>
      </c>
      <c r="L32" s="1">
        <f t="shared" si="1"/>
        <v>94790.8562</v>
      </c>
      <c r="M32" s="1">
        <f t="shared" si="10"/>
        <v>5438.588</v>
      </c>
      <c r="N32" s="1">
        <f t="shared" si="11"/>
        <v>5438.588</v>
      </c>
    </row>
    <row r="33" spans="1:14" ht="12.75">
      <c r="A33" s="10">
        <f t="shared" si="2"/>
        <v>4</v>
      </c>
      <c r="B33" s="1">
        <f t="shared" si="3"/>
        <v>94790.8562</v>
      </c>
      <c r="C33" s="1">
        <f t="shared" si="12"/>
        <v>5521.181819999999</v>
      </c>
      <c r="D33" s="1">
        <f t="shared" si="4"/>
        <v>1</v>
      </c>
      <c r="E33" s="1">
        <f t="shared" si="5"/>
        <v>2905.0746268656717</v>
      </c>
      <c r="F33" s="1">
        <f t="shared" si="6"/>
        <v>2843.7256859999998</v>
      </c>
      <c r="G33" s="1">
        <f t="shared" si="7"/>
        <v>-228.61849286567258</v>
      </c>
      <c r="H33" s="1">
        <f t="shared" si="13"/>
        <v>-1834.6985734626878</v>
      </c>
      <c r="I33" s="1">
        <f t="shared" si="0"/>
        <v>0</v>
      </c>
      <c r="J33" s="1">
        <f t="shared" si="8"/>
        <v>0</v>
      </c>
      <c r="K33" s="1">
        <f t="shared" si="9"/>
        <v>2676.456133999999</v>
      </c>
      <c r="L33" s="1">
        <f t="shared" si="1"/>
        <v>92114.400066</v>
      </c>
      <c r="M33" s="1">
        <f t="shared" si="10"/>
        <v>5520.181819999999</v>
      </c>
      <c r="N33" s="1">
        <f t="shared" si="11"/>
        <v>5520.181819999999</v>
      </c>
    </row>
    <row r="34" spans="1:14" ht="12.75">
      <c r="A34" s="10">
        <f t="shared" si="2"/>
        <v>5</v>
      </c>
      <c r="B34" s="1">
        <f t="shared" si="3"/>
        <v>92114.400066</v>
      </c>
      <c r="C34" s="1">
        <f t="shared" si="12"/>
        <v>5603.999547299998</v>
      </c>
      <c r="D34" s="1">
        <f t="shared" si="4"/>
        <v>1</v>
      </c>
      <c r="E34" s="1">
        <f t="shared" si="5"/>
        <v>2905.0746268656717</v>
      </c>
      <c r="F34" s="1">
        <f t="shared" si="6"/>
        <v>2763.4320019799998</v>
      </c>
      <c r="G34" s="1">
        <f t="shared" si="7"/>
        <v>-65.50708154567337</v>
      </c>
      <c r="H34" s="1">
        <f t="shared" si="13"/>
        <v>-1900.2056550083612</v>
      </c>
      <c r="I34" s="1">
        <f t="shared" si="0"/>
        <v>0</v>
      </c>
      <c r="J34" s="1">
        <f t="shared" si="8"/>
        <v>0</v>
      </c>
      <c r="K34" s="1">
        <f t="shared" si="9"/>
        <v>2839.5675453199983</v>
      </c>
      <c r="L34" s="1">
        <f t="shared" si="1"/>
        <v>89274.83252068001</v>
      </c>
      <c r="M34" s="1">
        <f t="shared" si="10"/>
        <v>5602.999547299998</v>
      </c>
      <c r="N34" s="1">
        <f t="shared" si="11"/>
        <v>5602.999547299998</v>
      </c>
    </row>
    <row r="35" spans="1:14" ht="12.75">
      <c r="A35" s="10">
        <f t="shared" si="2"/>
        <v>6</v>
      </c>
      <c r="B35" s="1">
        <f t="shared" si="3"/>
        <v>89274.83252068001</v>
      </c>
      <c r="C35" s="1">
        <f t="shared" si="12"/>
        <v>5688.059540509497</v>
      </c>
      <c r="D35" s="1">
        <f t="shared" si="4"/>
        <v>1</v>
      </c>
      <c r="E35" s="1">
        <f t="shared" si="5"/>
        <v>2905.0746268656717</v>
      </c>
      <c r="F35" s="1">
        <f t="shared" si="6"/>
        <v>2678.2449756204</v>
      </c>
      <c r="G35" s="1">
        <f t="shared" si="7"/>
        <v>103.73993802342557</v>
      </c>
      <c r="H35" s="1">
        <f t="shared" si="13"/>
        <v>-1796.4657169849356</v>
      </c>
      <c r="I35" s="1">
        <f t="shared" si="0"/>
        <v>0</v>
      </c>
      <c r="J35" s="1">
        <f t="shared" si="8"/>
        <v>0</v>
      </c>
      <c r="K35" s="1">
        <f t="shared" si="9"/>
        <v>3008.8145648890973</v>
      </c>
      <c r="L35" s="1">
        <f t="shared" si="1"/>
        <v>86266.01795579091</v>
      </c>
      <c r="M35" s="1">
        <f t="shared" si="10"/>
        <v>5687.059540509497</v>
      </c>
      <c r="N35" s="1">
        <f t="shared" si="11"/>
        <v>5687.059540509497</v>
      </c>
    </row>
    <row r="36" spans="1:14" ht="12.75">
      <c r="A36" s="10">
        <f t="shared" si="2"/>
        <v>7</v>
      </c>
      <c r="B36" s="1">
        <f t="shared" si="3"/>
        <v>86266.01795579091</v>
      </c>
      <c r="C36" s="1">
        <f t="shared" si="12"/>
        <v>5773.380433617139</v>
      </c>
      <c r="D36" s="1">
        <f t="shared" si="4"/>
        <v>1</v>
      </c>
      <c r="E36" s="1">
        <f t="shared" si="5"/>
        <v>2905.0746268656717</v>
      </c>
      <c r="F36" s="1">
        <f t="shared" si="6"/>
        <v>2587.9805386737276</v>
      </c>
      <c r="G36" s="1">
        <f t="shared" si="7"/>
        <v>279.32526807773957</v>
      </c>
      <c r="H36" s="1">
        <f t="shared" si="13"/>
        <v>-1517.140448907196</v>
      </c>
      <c r="I36" s="1">
        <f t="shared" si="0"/>
        <v>0</v>
      </c>
      <c r="J36" s="1">
        <f t="shared" si="8"/>
        <v>0</v>
      </c>
      <c r="K36" s="1">
        <f t="shared" si="9"/>
        <v>3184.3998949434113</v>
      </c>
      <c r="L36" s="1">
        <f t="shared" si="1"/>
        <v>83081.6180608475</v>
      </c>
      <c r="M36" s="1">
        <f t="shared" si="10"/>
        <v>5772.380433617139</v>
      </c>
      <c r="N36" s="1">
        <f t="shared" si="11"/>
        <v>5772.380433617139</v>
      </c>
    </row>
    <row r="37" spans="1:14" ht="12.75">
      <c r="A37" s="10">
        <f t="shared" si="2"/>
        <v>8</v>
      </c>
      <c r="B37" s="1">
        <f t="shared" si="3"/>
        <v>83081.6180608475</v>
      </c>
      <c r="C37" s="1">
        <f t="shared" si="12"/>
        <v>5859.981140121396</v>
      </c>
      <c r="D37" s="1">
        <f t="shared" si="4"/>
        <v>1</v>
      </c>
      <c r="E37" s="1">
        <f t="shared" si="5"/>
        <v>2905.0746268656717</v>
      </c>
      <c r="F37" s="1">
        <f t="shared" si="6"/>
        <v>2492.448541825425</v>
      </c>
      <c r="G37" s="1">
        <f t="shared" si="7"/>
        <v>461.45797143029904</v>
      </c>
      <c r="H37" s="1">
        <f t="shared" si="13"/>
        <v>-1055.682477476897</v>
      </c>
      <c r="I37" s="1">
        <f t="shared" si="0"/>
        <v>0</v>
      </c>
      <c r="J37" s="1">
        <f t="shared" si="8"/>
        <v>0</v>
      </c>
      <c r="K37" s="1">
        <f t="shared" si="9"/>
        <v>3366.5325982959707</v>
      </c>
      <c r="L37" s="1">
        <f t="shared" si="1"/>
        <v>79715.08546255152</v>
      </c>
      <c r="M37" s="1">
        <f t="shared" si="10"/>
        <v>5858.981140121396</v>
      </c>
      <c r="N37" s="1">
        <f t="shared" si="11"/>
        <v>5858.981140121396</v>
      </c>
    </row>
    <row r="38" spans="1:14" ht="12.75">
      <c r="A38" s="10">
        <f t="shared" si="2"/>
        <v>9</v>
      </c>
      <c r="B38" s="1">
        <f t="shared" si="3"/>
        <v>79715.08546255152</v>
      </c>
      <c r="C38" s="1">
        <f t="shared" si="12"/>
        <v>5947.880857223216</v>
      </c>
      <c r="D38" s="1">
        <f t="shared" si="4"/>
        <v>1</v>
      </c>
      <c r="E38" s="1">
        <f t="shared" si="5"/>
        <v>2905.0746268656717</v>
      </c>
      <c r="F38" s="1">
        <f t="shared" si="6"/>
        <v>2391.4525638765454</v>
      </c>
      <c r="G38" s="1">
        <f t="shared" si="7"/>
        <v>650.3536664809985</v>
      </c>
      <c r="H38" s="1">
        <f t="shared" si="13"/>
        <v>-405.3288109958985</v>
      </c>
      <c r="I38" s="1">
        <f t="shared" si="0"/>
        <v>0</v>
      </c>
      <c r="J38" s="1">
        <f t="shared" si="8"/>
        <v>0</v>
      </c>
      <c r="K38" s="1">
        <f t="shared" si="9"/>
        <v>3555.42829334667</v>
      </c>
      <c r="L38" s="1">
        <f t="shared" si="1"/>
        <v>76159.65716920485</v>
      </c>
      <c r="M38" s="1">
        <f t="shared" si="10"/>
        <v>5946.880857223216</v>
      </c>
      <c r="N38" s="1">
        <f t="shared" si="11"/>
        <v>5946.880857223216</v>
      </c>
    </row>
    <row r="39" spans="1:14" ht="12.75">
      <c r="A39" s="10">
        <f t="shared" si="2"/>
        <v>10</v>
      </c>
      <c r="B39" s="1">
        <f t="shared" si="3"/>
        <v>76159.65716920485</v>
      </c>
      <c r="C39" s="1">
        <f t="shared" si="12"/>
        <v>6037.099070081563</v>
      </c>
      <c r="D39" s="1">
        <f t="shared" si="4"/>
        <v>1</v>
      </c>
      <c r="E39" s="1">
        <f t="shared" si="5"/>
        <v>2905.0746268656717</v>
      </c>
      <c r="F39" s="1">
        <f t="shared" si="6"/>
        <v>2284.789715076145</v>
      </c>
      <c r="G39" s="1">
        <f t="shared" si="7"/>
        <v>846.234728139746</v>
      </c>
      <c r="H39" s="1">
        <f t="shared" si="13"/>
        <v>440.90591714384755</v>
      </c>
      <c r="I39" s="1">
        <f t="shared" si="0"/>
        <v>0</v>
      </c>
      <c r="J39" s="1">
        <f t="shared" si="8"/>
        <v>0</v>
      </c>
      <c r="K39" s="1">
        <f t="shared" si="9"/>
        <v>3751.3093550054177</v>
      </c>
      <c r="L39" s="1">
        <f t="shared" si="1"/>
        <v>72408.34781419943</v>
      </c>
      <c r="M39" s="1">
        <f t="shared" si="10"/>
        <v>6036.099070081563</v>
      </c>
      <c r="N39" s="1">
        <f t="shared" si="11"/>
        <v>6036.099070081563</v>
      </c>
    </row>
    <row r="40" spans="1:14" ht="12.75">
      <c r="A40" s="10">
        <f t="shared" si="2"/>
        <v>11</v>
      </c>
      <c r="B40" s="1">
        <f t="shared" si="3"/>
        <v>72408.34781419943</v>
      </c>
      <c r="C40" s="1">
        <f t="shared" si="12"/>
        <v>6127.655556132786</v>
      </c>
      <c r="D40" s="1">
        <f t="shared" si="4"/>
        <v>1</v>
      </c>
      <c r="E40" s="1">
        <f t="shared" si="5"/>
        <v>1405.0746268656717</v>
      </c>
      <c r="F40" s="1">
        <f t="shared" si="6"/>
        <v>2172.250434425983</v>
      </c>
      <c r="G40" s="1">
        <f t="shared" si="7"/>
        <v>2549.330494841132</v>
      </c>
      <c r="H40" s="1">
        <f t="shared" si="13"/>
        <v>2990.2364119849794</v>
      </c>
      <c r="I40" s="1">
        <f t="shared" si="0"/>
        <v>0</v>
      </c>
      <c r="J40" s="1">
        <f t="shared" si="8"/>
        <v>0</v>
      </c>
      <c r="K40" s="1">
        <f t="shared" si="9"/>
        <v>3954.405121706803</v>
      </c>
      <c r="L40" s="1">
        <f t="shared" si="1"/>
        <v>68453.94269249262</v>
      </c>
      <c r="M40" s="1">
        <f t="shared" si="10"/>
        <v>6126.655556132786</v>
      </c>
      <c r="N40" s="1">
        <f t="shared" si="11"/>
        <v>6126.655556132786</v>
      </c>
    </row>
    <row r="41" spans="1:14" ht="12.75">
      <c r="A41" s="10">
        <f t="shared" si="2"/>
        <v>12</v>
      </c>
      <c r="B41" s="1">
        <f t="shared" si="3"/>
        <v>68453.94269249262</v>
      </c>
      <c r="C41" s="1">
        <f t="shared" si="12"/>
        <v>6219.570389474777</v>
      </c>
      <c r="D41" s="1">
        <f t="shared" si="4"/>
        <v>1</v>
      </c>
      <c r="E41" s="1">
        <f t="shared" si="5"/>
        <v>1405.0746268656717</v>
      </c>
      <c r="F41" s="1">
        <f t="shared" si="6"/>
        <v>2053.6182807747787</v>
      </c>
      <c r="G41" s="1">
        <f t="shared" si="7"/>
        <v>2759.8774818343268</v>
      </c>
      <c r="H41" s="1">
        <f t="shared" si="13"/>
        <v>5750.113893819306</v>
      </c>
      <c r="I41" s="1">
        <f t="shared" si="0"/>
        <v>0</v>
      </c>
      <c r="J41" s="1">
        <f t="shared" si="8"/>
        <v>0</v>
      </c>
      <c r="K41" s="1">
        <f t="shared" si="9"/>
        <v>4164.952108699998</v>
      </c>
      <c r="L41" s="1">
        <f t="shared" si="1"/>
        <v>64288.99058379263</v>
      </c>
      <c r="M41" s="1">
        <f t="shared" si="10"/>
        <v>6218.570389474777</v>
      </c>
      <c r="N41" s="1">
        <f t="shared" si="11"/>
        <v>6218.570389474777</v>
      </c>
    </row>
    <row r="42" spans="1:14" ht="12.75">
      <c r="A42" s="10">
        <f t="shared" si="2"/>
        <v>13</v>
      </c>
      <c r="B42" s="1">
        <f t="shared" si="3"/>
        <v>64288.99058379263</v>
      </c>
      <c r="C42" s="1">
        <f t="shared" si="12"/>
        <v>6312.863945316898</v>
      </c>
      <c r="D42" s="1">
        <f t="shared" si="4"/>
        <v>1</v>
      </c>
      <c r="E42" s="1">
        <f t="shared" si="5"/>
        <v>1405.0746268656717</v>
      </c>
      <c r="F42" s="1">
        <f t="shared" si="6"/>
        <v>1928.6697175137788</v>
      </c>
      <c r="G42" s="1">
        <f t="shared" si="7"/>
        <v>2978.119600937448</v>
      </c>
      <c r="H42" s="1">
        <f t="shared" si="13"/>
        <v>8728.233494756754</v>
      </c>
      <c r="I42" s="1">
        <f t="shared" si="0"/>
        <v>0</v>
      </c>
      <c r="J42" s="1">
        <f t="shared" si="8"/>
        <v>0</v>
      </c>
      <c r="K42" s="1">
        <f t="shared" si="9"/>
        <v>4383.194227803119</v>
      </c>
      <c r="L42" s="1">
        <f t="shared" si="1"/>
        <v>59905.79635598951</v>
      </c>
      <c r="M42" s="1">
        <f t="shared" si="10"/>
        <v>6311.863945316898</v>
      </c>
      <c r="N42" s="1">
        <f t="shared" si="11"/>
        <v>6311.863945316898</v>
      </c>
    </row>
    <row r="43" spans="1:14" ht="12.75">
      <c r="A43" s="10">
        <f t="shared" si="2"/>
        <v>14</v>
      </c>
      <c r="B43" s="1">
        <f t="shared" si="3"/>
        <v>59905.79635598951</v>
      </c>
      <c r="C43" s="1">
        <f t="shared" si="12"/>
        <v>6407.5569044966505</v>
      </c>
      <c r="D43" s="1">
        <f t="shared" si="4"/>
        <v>1</v>
      </c>
      <c r="E43" s="1">
        <f t="shared" si="5"/>
        <v>1405.0746268656717</v>
      </c>
      <c r="F43" s="1">
        <f t="shared" si="6"/>
        <v>1797.1738906796852</v>
      </c>
      <c r="G43" s="1">
        <f t="shared" si="7"/>
        <v>3204.308386951294</v>
      </c>
      <c r="H43" s="1">
        <f t="shared" si="13"/>
        <v>11932.541881708048</v>
      </c>
      <c r="I43" s="1">
        <f t="shared" si="0"/>
        <v>0</v>
      </c>
      <c r="J43" s="1">
        <f t="shared" si="8"/>
        <v>0</v>
      </c>
      <c r="K43" s="1">
        <f t="shared" si="9"/>
        <v>4609.383013816965</v>
      </c>
      <c r="L43" s="1">
        <f t="shared" si="1"/>
        <v>55296.41334217254</v>
      </c>
      <c r="M43" s="1">
        <f t="shared" si="10"/>
        <v>6406.5569044966505</v>
      </c>
      <c r="N43" s="1">
        <f t="shared" si="11"/>
        <v>6406.5569044966505</v>
      </c>
    </row>
    <row r="44" spans="1:14" ht="12.75">
      <c r="A44" s="10">
        <f t="shared" si="2"/>
        <v>15</v>
      </c>
      <c r="B44" s="1">
        <f t="shared" si="3"/>
        <v>55296.41334217254</v>
      </c>
      <c r="C44" s="1">
        <f t="shared" si="12"/>
        <v>6503.6702580640995</v>
      </c>
      <c r="D44" s="1">
        <f t="shared" si="4"/>
        <v>1</v>
      </c>
      <c r="E44" s="1">
        <f t="shared" si="5"/>
        <v>1405.0746268656717</v>
      </c>
      <c r="F44" s="1">
        <f t="shared" si="6"/>
        <v>1658.892400265176</v>
      </c>
      <c r="G44" s="1">
        <f t="shared" si="7"/>
        <v>3438.703230933252</v>
      </c>
      <c r="H44" s="1">
        <f t="shared" si="13"/>
        <v>15371.2451126413</v>
      </c>
      <c r="I44" s="1">
        <f t="shared" si="0"/>
        <v>0</v>
      </c>
      <c r="J44" s="1">
        <f t="shared" si="8"/>
        <v>0</v>
      </c>
      <c r="K44" s="1">
        <f t="shared" si="9"/>
        <v>4843.777857798923</v>
      </c>
      <c r="L44" s="1">
        <f t="shared" si="1"/>
        <v>50452.63548437362</v>
      </c>
      <c r="M44" s="1">
        <f t="shared" si="10"/>
        <v>6502.6702580640995</v>
      </c>
      <c r="N44" s="1">
        <f t="shared" si="11"/>
        <v>6502.6702580640995</v>
      </c>
    </row>
    <row r="45" spans="1:14" ht="12.75">
      <c r="A45" s="10">
        <f t="shared" si="2"/>
        <v>16</v>
      </c>
      <c r="B45" s="1">
        <f t="shared" si="3"/>
        <v>50452.63548437362</v>
      </c>
      <c r="C45" s="1">
        <f t="shared" si="12"/>
        <v>6601.225311935061</v>
      </c>
      <c r="D45" s="1">
        <f t="shared" si="4"/>
        <v>1</v>
      </c>
      <c r="E45" s="1">
        <f t="shared" si="5"/>
        <v>1405.0746268656717</v>
      </c>
      <c r="F45" s="1">
        <f t="shared" si="6"/>
        <v>1513.5790645312086</v>
      </c>
      <c r="G45" s="1">
        <f t="shared" si="7"/>
        <v>3681.571620538181</v>
      </c>
      <c r="H45" s="1">
        <f t="shared" si="13"/>
        <v>19052.81673317948</v>
      </c>
      <c r="I45" s="1">
        <f t="shared" si="0"/>
        <v>0</v>
      </c>
      <c r="J45" s="1">
        <f t="shared" si="8"/>
        <v>0</v>
      </c>
      <c r="K45" s="1">
        <f t="shared" si="9"/>
        <v>5086.646247403853</v>
      </c>
      <c r="L45" s="1">
        <f t="shared" si="1"/>
        <v>45365.98923696976</v>
      </c>
      <c r="M45" s="1">
        <f t="shared" si="10"/>
        <v>6600.225311935061</v>
      </c>
      <c r="N45" s="1">
        <f t="shared" si="11"/>
        <v>6600.225311935061</v>
      </c>
    </row>
    <row r="46" spans="1:14" ht="12.75">
      <c r="A46" s="10">
        <f t="shared" si="2"/>
        <v>17</v>
      </c>
      <c r="B46" s="1">
        <f t="shared" si="3"/>
        <v>45365.98923696976</v>
      </c>
      <c r="C46" s="1">
        <f t="shared" si="12"/>
        <v>6700.243691614086</v>
      </c>
      <c r="D46" s="1">
        <f t="shared" si="4"/>
        <v>1</v>
      </c>
      <c r="E46" s="1">
        <f t="shared" si="5"/>
        <v>1405.0746268656717</v>
      </c>
      <c r="F46" s="1">
        <f t="shared" si="6"/>
        <v>1360.9796771090928</v>
      </c>
      <c r="G46" s="1">
        <f t="shared" si="7"/>
        <v>3933.189387639321</v>
      </c>
      <c r="H46" s="1">
        <f t="shared" si="13"/>
        <v>22986.0061208188</v>
      </c>
      <c r="I46" s="1">
        <f t="shared" si="0"/>
        <v>0</v>
      </c>
      <c r="J46" s="1">
        <f t="shared" si="8"/>
        <v>0</v>
      </c>
      <c r="K46" s="1">
        <f t="shared" si="9"/>
        <v>5338.264014504994</v>
      </c>
      <c r="L46" s="1">
        <f t="shared" si="1"/>
        <v>40027.72522246477</v>
      </c>
      <c r="M46" s="1">
        <f t="shared" si="10"/>
        <v>6699.243691614087</v>
      </c>
      <c r="N46" s="1">
        <f t="shared" si="11"/>
        <v>6699.243691614087</v>
      </c>
    </row>
    <row r="47" spans="1:14" ht="12.75">
      <c r="A47" s="10">
        <f t="shared" si="2"/>
        <v>18</v>
      </c>
      <c r="B47" s="1">
        <f t="shared" si="3"/>
        <v>40027.72522246477</v>
      </c>
      <c r="C47" s="1">
        <f t="shared" si="12"/>
        <v>6800.747346988296</v>
      </c>
      <c r="D47" s="1">
        <f t="shared" si="4"/>
        <v>1</v>
      </c>
      <c r="E47" s="1">
        <f t="shared" si="5"/>
        <v>1405.0746268656717</v>
      </c>
      <c r="F47" s="1">
        <f t="shared" si="6"/>
        <v>1200.831756673943</v>
      </c>
      <c r="G47" s="1">
        <f t="shared" si="7"/>
        <v>4193.840963448682</v>
      </c>
      <c r="H47" s="1">
        <f t="shared" si="13"/>
        <v>27179.847084267483</v>
      </c>
      <c r="I47" s="1">
        <f t="shared" si="0"/>
        <v>0</v>
      </c>
      <c r="J47" s="1">
        <f t="shared" si="8"/>
        <v>0</v>
      </c>
      <c r="K47" s="1">
        <f t="shared" si="9"/>
        <v>5598.915590314353</v>
      </c>
      <c r="L47" s="1">
        <f t="shared" si="1"/>
        <v>34428.80963215041</v>
      </c>
      <c r="M47" s="1">
        <f t="shared" si="10"/>
        <v>6799.747346988295</v>
      </c>
      <c r="N47" s="1">
        <f t="shared" si="11"/>
        <v>6799.747346988295</v>
      </c>
    </row>
    <row r="48" spans="1:14" ht="12.75">
      <c r="A48" s="10">
        <f t="shared" si="2"/>
        <v>19</v>
      </c>
      <c r="B48" s="1">
        <f t="shared" si="3"/>
        <v>34428.80963215041</v>
      </c>
      <c r="C48" s="1">
        <f t="shared" si="12"/>
        <v>6902.7585571931195</v>
      </c>
      <c r="D48" s="1">
        <f t="shared" si="4"/>
        <v>1</v>
      </c>
      <c r="E48" s="1">
        <f t="shared" si="5"/>
        <v>1405.0746268656717</v>
      </c>
      <c r="F48" s="1">
        <f t="shared" si="6"/>
        <v>1032.8642889645123</v>
      </c>
      <c r="G48" s="1">
        <f t="shared" si="7"/>
        <v>4463.819641362936</v>
      </c>
      <c r="H48" s="1">
        <f t="shared" si="13"/>
        <v>31643.66672563042</v>
      </c>
      <c r="I48" s="1">
        <f t="shared" si="0"/>
        <v>0</v>
      </c>
      <c r="J48" s="1">
        <f t="shared" si="8"/>
        <v>0</v>
      </c>
      <c r="K48" s="1">
        <f t="shared" si="9"/>
        <v>5868.894268228607</v>
      </c>
      <c r="L48" s="1">
        <f t="shared" si="1"/>
        <v>28559.915363921806</v>
      </c>
      <c r="M48" s="1">
        <f t="shared" si="10"/>
        <v>6901.7585571931195</v>
      </c>
      <c r="N48" s="1">
        <f t="shared" si="11"/>
        <v>6901.7585571931195</v>
      </c>
    </row>
    <row r="49" spans="1:14" ht="12.75">
      <c r="A49" s="10">
        <f t="shared" si="2"/>
        <v>20</v>
      </c>
      <c r="B49" s="1">
        <f t="shared" si="3"/>
        <v>28559.915363921806</v>
      </c>
      <c r="C49" s="1">
        <f t="shared" si="12"/>
        <v>7006.299935551016</v>
      </c>
      <c r="D49" s="1">
        <f t="shared" si="4"/>
        <v>1</v>
      </c>
      <c r="E49" s="1">
        <f t="shared" si="5"/>
        <v>1405.0746268656717</v>
      </c>
      <c r="F49" s="1">
        <f t="shared" si="6"/>
        <v>856.7974609176541</v>
      </c>
      <c r="G49" s="1">
        <f t="shared" si="7"/>
        <v>4743.427847767689</v>
      </c>
      <c r="H49" s="1">
        <f t="shared" si="13"/>
        <v>36387.094573398106</v>
      </c>
      <c r="I49" s="1">
        <f t="shared" si="0"/>
        <v>0</v>
      </c>
      <c r="J49" s="1">
        <f t="shared" si="8"/>
        <v>0</v>
      </c>
      <c r="K49" s="1">
        <f t="shared" si="9"/>
        <v>6148.502474633361</v>
      </c>
      <c r="L49" s="1">
        <f t="shared" si="1"/>
        <v>22411.412889288444</v>
      </c>
      <c r="M49" s="1">
        <f t="shared" si="10"/>
        <v>7005.299935551016</v>
      </c>
      <c r="N49" s="1">
        <f t="shared" si="11"/>
        <v>7005.299935551016</v>
      </c>
    </row>
    <row r="50" spans="1:14" ht="12.75">
      <c r="A50" s="10">
        <f t="shared" si="2"/>
        <v>21</v>
      </c>
      <c r="B50" s="1">
        <f t="shared" si="3"/>
        <v>22411.412889288444</v>
      </c>
      <c r="C50" s="1">
        <f t="shared" si="12"/>
        <v>7111.39443458428</v>
      </c>
      <c r="D50" s="1">
        <f t="shared" si="4"/>
        <v>1</v>
      </c>
      <c r="E50" s="1">
        <f t="shared" si="5"/>
        <v>1405.0746268656717</v>
      </c>
      <c r="F50" s="1">
        <f t="shared" si="6"/>
        <v>672.3423866786533</v>
      </c>
      <c r="G50" s="1">
        <f t="shared" si="7"/>
        <v>5032.977421039955</v>
      </c>
      <c r="H50" s="1">
        <f t="shared" si="13"/>
        <v>41420.07199443806</v>
      </c>
      <c r="I50" s="1">
        <f t="shared" si="0"/>
        <v>0</v>
      </c>
      <c r="J50" s="1">
        <f t="shared" si="8"/>
        <v>0</v>
      </c>
      <c r="K50" s="1">
        <f t="shared" si="9"/>
        <v>6438.052047905627</v>
      </c>
      <c r="L50" s="1">
        <f t="shared" si="1"/>
        <v>15973.360841382817</v>
      </c>
      <c r="M50" s="1">
        <f t="shared" si="10"/>
        <v>7110.39443458428</v>
      </c>
      <c r="N50" s="1">
        <f t="shared" si="11"/>
        <v>7110.39443458428</v>
      </c>
    </row>
    <row r="51" spans="1:14" ht="12.75">
      <c r="A51" s="10">
        <f t="shared" si="2"/>
        <v>22</v>
      </c>
      <c r="B51" s="1">
        <f t="shared" si="3"/>
        <v>15973.360841382817</v>
      </c>
      <c r="C51" s="1">
        <f t="shared" si="12"/>
        <v>7218.065351103043</v>
      </c>
      <c r="D51" s="1">
        <f t="shared" si="4"/>
        <v>1</v>
      </c>
      <c r="E51" s="1">
        <f t="shared" si="5"/>
        <v>1405.0746268656717</v>
      </c>
      <c r="F51" s="1">
        <f t="shared" si="6"/>
        <v>479.2008252414845</v>
      </c>
      <c r="G51" s="1">
        <f t="shared" si="7"/>
        <v>5332.789898995888</v>
      </c>
      <c r="H51" s="1">
        <f t="shared" si="13"/>
        <v>46752.86189343395</v>
      </c>
      <c r="I51" s="1">
        <f t="shared" si="0"/>
        <v>0</v>
      </c>
      <c r="J51" s="1">
        <f t="shared" si="8"/>
        <v>0</v>
      </c>
      <c r="K51" s="1">
        <f t="shared" si="9"/>
        <v>6737.864525861559</v>
      </c>
      <c r="L51" s="1">
        <f t="shared" si="1"/>
        <v>9235.496315521257</v>
      </c>
      <c r="M51" s="1">
        <f t="shared" si="10"/>
        <v>7217.065351103043</v>
      </c>
      <c r="N51" s="1">
        <f t="shared" si="11"/>
        <v>7217.065351103043</v>
      </c>
    </row>
    <row r="52" spans="1:14" ht="12.75">
      <c r="A52" s="10">
        <f t="shared" si="2"/>
        <v>23</v>
      </c>
      <c r="B52" s="1">
        <f t="shared" si="3"/>
        <v>9235.496315521257</v>
      </c>
      <c r="C52" s="1">
        <f t="shared" si="12"/>
        <v>7326.336331369588</v>
      </c>
      <c r="D52" s="1">
        <f t="shared" si="4"/>
        <v>1</v>
      </c>
      <c r="E52" s="1">
        <f t="shared" si="5"/>
        <v>1405.0746268656717</v>
      </c>
      <c r="F52" s="1">
        <f t="shared" si="6"/>
        <v>277.0648894656377</v>
      </c>
      <c r="G52" s="1">
        <f t="shared" si="7"/>
        <v>5643.196815038279</v>
      </c>
      <c r="H52" s="1">
        <f t="shared" si="13"/>
        <v>52396.05870847223</v>
      </c>
      <c r="I52" s="1">
        <f t="shared" si="0"/>
        <v>0</v>
      </c>
      <c r="J52" s="1">
        <f t="shared" si="8"/>
        <v>0</v>
      </c>
      <c r="K52" s="1">
        <f t="shared" si="9"/>
        <v>7048.27144190395</v>
      </c>
      <c r="L52" s="1">
        <f t="shared" si="1"/>
        <v>2187.224873617307</v>
      </c>
      <c r="M52" s="1">
        <f t="shared" si="10"/>
        <v>7325.336331369588</v>
      </c>
      <c r="N52" s="1">
        <f t="shared" si="11"/>
        <v>7325.336331369588</v>
      </c>
    </row>
    <row r="53" spans="1:14" ht="12.75">
      <c r="A53" s="10">
        <f t="shared" si="2"/>
        <v>24</v>
      </c>
      <c r="B53" s="1">
        <f t="shared" si="3"/>
        <v>2187.224873617307</v>
      </c>
      <c r="C53" s="1">
        <f t="shared" si="12"/>
        <v>7436.231376340132</v>
      </c>
      <c r="D53" s="1">
        <f t="shared" si="4"/>
        <v>1</v>
      </c>
      <c r="E53" s="1">
        <f t="shared" si="5"/>
        <v>1405.0746268656717</v>
      </c>
      <c r="F53" s="1">
        <f t="shared" si="6"/>
        <v>65.6167462085192</v>
      </c>
      <c r="G53" s="1">
        <f t="shared" si="7"/>
        <v>5964.54000326594</v>
      </c>
      <c r="H53" s="1">
        <f t="shared" si="13"/>
        <v>58360.59871173817</v>
      </c>
      <c r="I53" s="1">
        <f t="shared" si="0"/>
        <v>0</v>
      </c>
      <c r="J53" s="1">
        <f t="shared" si="8"/>
        <v>0</v>
      </c>
      <c r="K53" s="1">
        <f t="shared" si="9"/>
        <v>7369.614630131612</v>
      </c>
      <c r="L53" s="1">
        <f t="shared" si="1"/>
        <v>0</v>
      </c>
      <c r="M53" s="1">
        <f t="shared" si="10"/>
        <v>7435.231376340132</v>
      </c>
      <c r="N53" s="1">
        <f t="shared" si="11"/>
        <v>7435.231376340132</v>
      </c>
    </row>
    <row r="54" spans="1:14" ht="12.75">
      <c r="A54" s="10">
        <f t="shared" si="2"/>
      </c>
      <c r="B54" s="1">
        <f t="shared" si="3"/>
        <v>0</v>
      </c>
      <c r="C54" s="1">
        <f t="shared" si="12"/>
      </c>
      <c r="D54" s="1">
        <f t="shared" si="4"/>
      </c>
      <c r="E54" s="1">
        <f t="shared" si="5"/>
        <v>0</v>
      </c>
      <c r="F54" s="1">
        <f t="shared" si="6"/>
        <v>0</v>
      </c>
      <c r="G54" s="1">
        <f t="shared" si="7"/>
        <v>0</v>
      </c>
      <c r="H54" s="1">
        <f t="shared" si="13"/>
      </c>
      <c r="I54" s="1">
        <f t="shared" si="0"/>
        <v>0</v>
      </c>
      <c r="J54" s="1">
        <f t="shared" si="8"/>
        <v>0</v>
      </c>
      <c r="K54" s="1">
        <f t="shared" si="9"/>
        <v>0</v>
      </c>
      <c r="L54" s="1">
        <f t="shared" si="1"/>
        <v>0</v>
      </c>
      <c r="M54" s="1">
        <f t="shared" si="10"/>
        <v>0</v>
      </c>
      <c r="N54" s="1">
        <f t="shared" si="11"/>
        <v>0</v>
      </c>
    </row>
    <row r="55" spans="1:14" ht="12.75">
      <c r="A55" s="10">
        <f t="shared" si="2"/>
      </c>
      <c r="B55" s="1">
        <f t="shared" si="3"/>
        <v>0</v>
      </c>
      <c r="C55" s="1">
        <f t="shared" si="12"/>
      </c>
      <c r="D55" s="1">
        <f t="shared" si="4"/>
      </c>
      <c r="E55" s="1">
        <f t="shared" si="5"/>
        <v>0</v>
      </c>
      <c r="F55" s="1">
        <f t="shared" si="6"/>
        <v>0</v>
      </c>
      <c r="G55" s="1">
        <f t="shared" si="7"/>
        <v>0</v>
      </c>
      <c r="H55" s="1">
        <f t="shared" si="13"/>
      </c>
      <c r="I55" s="1">
        <f t="shared" si="0"/>
        <v>0</v>
      </c>
      <c r="J55" s="1">
        <f t="shared" si="8"/>
        <v>0</v>
      </c>
      <c r="K55" s="1">
        <f t="shared" si="9"/>
        <v>0</v>
      </c>
      <c r="L55" s="1">
        <f t="shared" si="1"/>
        <v>0</v>
      </c>
      <c r="M55" s="1">
        <f t="shared" si="10"/>
        <v>0</v>
      </c>
      <c r="N55" s="1">
        <f t="shared" si="11"/>
        <v>0</v>
      </c>
    </row>
    <row r="56" spans="1:14" ht="12.75">
      <c r="A56" s="10">
        <f t="shared" si="2"/>
      </c>
      <c r="B56" s="1">
        <f t="shared" si="3"/>
        <v>0</v>
      </c>
      <c r="C56" s="1">
        <f t="shared" si="12"/>
      </c>
      <c r="D56" s="1">
        <f t="shared" si="4"/>
      </c>
      <c r="E56" s="1">
        <f t="shared" si="5"/>
        <v>0</v>
      </c>
      <c r="F56" s="1">
        <f t="shared" si="6"/>
        <v>0</v>
      </c>
      <c r="G56" s="1">
        <f t="shared" si="7"/>
        <v>0</v>
      </c>
      <c r="H56" s="1">
        <f t="shared" si="13"/>
      </c>
      <c r="I56" s="1">
        <f t="shared" si="0"/>
        <v>0</v>
      </c>
      <c r="J56" s="1">
        <f t="shared" si="8"/>
        <v>0</v>
      </c>
      <c r="K56" s="1">
        <f t="shared" si="9"/>
        <v>0</v>
      </c>
      <c r="L56" s="1">
        <f t="shared" si="1"/>
        <v>0</v>
      </c>
      <c r="M56" s="1">
        <f t="shared" si="10"/>
        <v>0</v>
      </c>
      <c r="N56" s="1">
        <f t="shared" si="11"/>
        <v>0</v>
      </c>
    </row>
    <row r="57" spans="1:14" ht="12.75">
      <c r="A57" s="10">
        <f t="shared" si="2"/>
      </c>
      <c r="B57" s="1">
        <f t="shared" si="3"/>
        <v>0</v>
      </c>
      <c r="C57" s="1">
        <f t="shared" si="12"/>
      </c>
      <c r="D57" s="1">
        <f t="shared" si="4"/>
      </c>
      <c r="E57" s="1">
        <f t="shared" si="5"/>
        <v>0</v>
      </c>
      <c r="F57" s="1">
        <f t="shared" si="6"/>
        <v>0</v>
      </c>
      <c r="G57" s="1">
        <f t="shared" si="7"/>
        <v>0</v>
      </c>
      <c r="H57" s="1">
        <f t="shared" si="13"/>
      </c>
      <c r="I57" s="1">
        <f t="shared" si="0"/>
        <v>0</v>
      </c>
      <c r="J57" s="1">
        <f t="shared" si="8"/>
        <v>0</v>
      </c>
      <c r="K57" s="1">
        <f t="shared" si="9"/>
        <v>0</v>
      </c>
      <c r="L57" s="1">
        <f t="shared" si="1"/>
        <v>0</v>
      </c>
      <c r="M57" s="1">
        <f t="shared" si="10"/>
        <v>0</v>
      </c>
      <c r="N57" s="1">
        <f t="shared" si="11"/>
        <v>0</v>
      </c>
    </row>
    <row r="58" spans="1:14" ht="12.75">
      <c r="A58" s="10">
        <f t="shared" si="2"/>
      </c>
      <c r="B58" s="1">
        <f t="shared" si="3"/>
        <v>0</v>
      </c>
      <c r="C58" s="1">
        <f t="shared" si="12"/>
      </c>
      <c r="D58" s="1">
        <f t="shared" si="4"/>
      </c>
      <c r="E58" s="1">
        <f t="shared" si="5"/>
        <v>0</v>
      </c>
      <c r="F58" s="1">
        <f t="shared" si="6"/>
        <v>0</v>
      </c>
      <c r="G58" s="1">
        <f t="shared" si="7"/>
        <v>0</v>
      </c>
      <c r="H58" s="1">
        <f t="shared" si="13"/>
      </c>
      <c r="I58" s="1">
        <f t="shared" si="0"/>
        <v>0</v>
      </c>
      <c r="J58" s="1">
        <f t="shared" si="8"/>
        <v>0</v>
      </c>
      <c r="K58" s="1">
        <f t="shared" si="9"/>
        <v>0</v>
      </c>
      <c r="L58" s="1">
        <f t="shared" si="1"/>
        <v>0</v>
      </c>
      <c r="M58" s="1">
        <f t="shared" si="10"/>
        <v>0</v>
      </c>
      <c r="N58" s="1">
        <f t="shared" si="11"/>
        <v>0</v>
      </c>
    </row>
    <row r="59" spans="1:14" ht="12.75">
      <c r="A59" s="10">
        <f t="shared" si="2"/>
      </c>
      <c r="B59" s="1">
        <f t="shared" si="3"/>
        <v>0</v>
      </c>
      <c r="C59" s="1">
        <f t="shared" si="12"/>
      </c>
      <c r="D59" s="1">
        <f t="shared" si="4"/>
      </c>
      <c r="E59" s="1">
        <f t="shared" si="5"/>
        <v>0</v>
      </c>
      <c r="F59" s="1">
        <f t="shared" si="6"/>
        <v>0</v>
      </c>
      <c r="G59" s="1">
        <f t="shared" si="7"/>
        <v>0</v>
      </c>
      <c r="H59" s="1">
        <f t="shared" si="13"/>
      </c>
      <c r="I59" s="1">
        <f t="shared" si="0"/>
        <v>0</v>
      </c>
      <c r="J59" s="1">
        <f t="shared" si="8"/>
        <v>0</v>
      </c>
      <c r="K59" s="1">
        <f t="shared" si="9"/>
        <v>0</v>
      </c>
      <c r="L59" s="1">
        <f t="shared" si="1"/>
        <v>0</v>
      </c>
      <c r="M59" s="1">
        <f t="shared" si="10"/>
        <v>0</v>
      </c>
      <c r="N59" s="1">
        <f t="shared" si="11"/>
        <v>0</v>
      </c>
    </row>
    <row r="60" spans="1:14" ht="12.75">
      <c r="A60" s="10">
        <f t="shared" si="2"/>
      </c>
      <c r="B60" s="1">
        <f t="shared" si="3"/>
        <v>0</v>
      </c>
      <c r="C60" s="1">
        <f t="shared" si="12"/>
      </c>
      <c r="D60" s="1">
        <f t="shared" si="4"/>
      </c>
      <c r="E60" s="1">
        <f t="shared" si="5"/>
        <v>0</v>
      </c>
      <c r="F60" s="1">
        <f t="shared" si="6"/>
        <v>0</v>
      </c>
      <c r="G60" s="1">
        <f t="shared" si="7"/>
        <v>0</v>
      </c>
      <c r="H60" s="1">
        <f t="shared" si="13"/>
      </c>
      <c r="I60" s="1">
        <f t="shared" si="0"/>
        <v>0</v>
      </c>
      <c r="J60" s="1">
        <f t="shared" si="8"/>
        <v>0</v>
      </c>
      <c r="K60" s="1">
        <f t="shared" si="9"/>
        <v>0</v>
      </c>
      <c r="L60" s="1">
        <f t="shared" si="1"/>
        <v>0</v>
      </c>
      <c r="M60" s="1">
        <f t="shared" si="10"/>
        <v>0</v>
      </c>
      <c r="N60" s="1">
        <f t="shared" si="11"/>
        <v>0</v>
      </c>
    </row>
    <row r="61" spans="1:14" ht="12.75">
      <c r="A61" s="10">
        <f t="shared" si="2"/>
      </c>
      <c r="B61" s="1">
        <f t="shared" si="3"/>
        <v>0</v>
      </c>
      <c r="C61" s="1">
        <f t="shared" si="12"/>
      </c>
      <c r="D61" s="1">
        <f t="shared" si="4"/>
      </c>
      <c r="E61" s="1">
        <f t="shared" si="5"/>
        <v>0</v>
      </c>
      <c r="F61" s="1">
        <f t="shared" si="6"/>
        <v>0</v>
      </c>
      <c r="G61" s="1">
        <f t="shared" si="7"/>
        <v>0</v>
      </c>
      <c r="H61" s="1">
        <f t="shared" si="13"/>
      </c>
      <c r="I61" s="1">
        <f t="shared" si="0"/>
        <v>0</v>
      </c>
      <c r="J61" s="1">
        <f t="shared" si="8"/>
        <v>0</v>
      </c>
      <c r="K61" s="1">
        <f t="shared" si="9"/>
        <v>0</v>
      </c>
      <c r="L61" s="1">
        <f t="shared" si="1"/>
        <v>0</v>
      </c>
      <c r="M61" s="1">
        <f t="shared" si="10"/>
        <v>0</v>
      </c>
      <c r="N61" s="1">
        <f t="shared" si="11"/>
        <v>0</v>
      </c>
    </row>
    <row r="62" spans="1:14" ht="12.75">
      <c r="A62" s="10">
        <f t="shared" si="2"/>
      </c>
      <c r="B62" s="1">
        <f t="shared" si="3"/>
        <v>0</v>
      </c>
      <c r="C62" s="1">
        <f t="shared" si="12"/>
      </c>
      <c r="D62" s="1">
        <f t="shared" si="4"/>
      </c>
      <c r="E62" s="1">
        <f t="shared" si="5"/>
        <v>0</v>
      </c>
      <c r="F62" s="1">
        <f t="shared" si="6"/>
        <v>0</v>
      </c>
      <c r="G62" s="1">
        <f t="shared" si="7"/>
        <v>0</v>
      </c>
      <c r="H62" s="1">
        <f t="shared" si="13"/>
      </c>
      <c r="I62" s="1">
        <f aca="true" t="shared" si="14" ref="I62:I74">IF(G62="","",G62*I$29)</f>
        <v>0</v>
      </c>
      <c r="J62" s="1">
        <f t="shared" si="8"/>
        <v>0</v>
      </c>
      <c r="K62" s="1">
        <f t="shared" si="9"/>
        <v>0</v>
      </c>
      <c r="L62" s="1">
        <f aca="true" t="shared" si="15" ref="L62:L74">IF(B62&lt;K62,0,B62-K62)</f>
        <v>0</v>
      </c>
      <c r="M62" s="1">
        <f t="shared" si="10"/>
        <v>0</v>
      </c>
      <c r="N62" s="1">
        <f t="shared" si="11"/>
        <v>0</v>
      </c>
    </row>
    <row r="63" spans="1:14" ht="12.75">
      <c r="A63" s="10">
        <f aca="true" t="shared" si="16" ref="A63:A74">IF(L62&gt;0,A62+1,"")</f>
      </c>
      <c r="B63" s="1">
        <f aca="true" t="shared" si="17" ref="B63:B74">IF(L62&gt;0,L62,0)</f>
        <v>0</v>
      </c>
      <c r="C63" s="1">
        <f t="shared" si="12"/>
      </c>
      <c r="D63" s="1">
        <f t="shared" si="4"/>
      </c>
      <c r="E63" s="1">
        <f t="shared" si="5"/>
        <v>0</v>
      </c>
      <c r="F63" s="1">
        <f t="shared" si="6"/>
        <v>0</v>
      </c>
      <c r="G63" s="1">
        <f t="shared" si="7"/>
        <v>0</v>
      </c>
      <c r="H63" s="1">
        <f t="shared" si="13"/>
      </c>
      <c r="I63" s="1">
        <f t="shared" si="14"/>
        <v>0</v>
      </c>
      <c r="J63" s="1">
        <f t="shared" si="8"/>
        <v>0</v>
      </c>
      <c r="K63" s="1">
        <f t="shared" si="9"/>
        <v>0</v>
      </c>
      <c r="L63" s="1">
        <f t="shared" si="15"/>
        <v>0</v>
      </c>
      <c r="M63" s="1">
        <f t="shared" si="10"/>
        <v>0</v>
      </c>
      <c r="N63" s="1">
        <f t="shared" si="11"/>
        <v>0</v>
      </c>
    </row>
    <row r="64" spans="1:14" ht="12.75">
      <c r="A64" s="10">
        <f t="shared" si="16"/>
      </c>
      <c r="B64" s="1">
        <f t="shared" si="17"/>
        <v>0</v>
      </c>
      <c r="C64" s="1">
        <f t="shared" si="12"/>
      </c>
      <c r="D64" s="1">
        <f t="shared" si="4"/>
      </c>
      <c r="E64" s="1">
        <f t="shared" si="5"/>
        <v>0</v>
      </c>
      <c r="F64" s="1">
        <f t="shared" si="6"/>
        <v>0</v>
      </c>
      <c r="G64" s="1">
        <f t="shared" si="7"/>
        <v>0</v>
      </c>
      <c r="H64" s="1">
        <f t="shared" si="13"/>
      </c>
      <c r="I64" s="1">
        <f t="shared" si="14"/>
        <v>0</v>
      </c>
      <c r="J64" s="1">
        <f t="shared" si="8"/>
        <v>0</v>
      </c>
      <c r="K64" s="1">
        <f t="shared" si="9"/>
        <v>0</v>
      </c>
      <c r="L64" s="1">
        <f t="shared" si="15"/>
        <v>0</v>
      </c>
      <c r="M64" s="1">
        <f t="shared" si="10"/>
        <v>0</v>
      </c>
      <c r="N64" s="1">
        <f t="shared" si="11"/>
        <v>0</v>
      </c>
    </row>
    <row r="65" spans="1:14" ht="12.75">
      <c r="A65" s="10">
        <f t="shared" si="16"/>
      </c>
      <c r="B65" s="1">
        <f t="shared" si="17"/>
        <v>0</v>
      </c>
      <c r="C65" s="1">
        <f t="shared" si="12"/>
      </c>
      <c r="D65" s="1">
        <f t="shared" si="4"/>
      </c>
      <c r="E65" s="1">
        <f t="shared" si="5"/>
        <v>0</v>
      </c>
      <c r="F65" s="1">
        <f t="shared" si="6"/>
        <v>0</v>
      </c>
      <c r="G65" s="1">
        <f t="shared" si="7"/>
        <v>0</v>
      </c>
      <c r="H65" s="1">
        <f t="shared" si="13"/>
      </c>
      <c r="I65" s="1">
        <f t="shared" si="14"/>
        <v>0</v>
      </c>
      <c r="J65" s="1">
        <f t="shared" si="8"/>
        <v>0</v>
      </c>
      <c r="K65" s="1">
        <f t="shared" si="9"/>
        <v>0</v>
      </c>
      <c r="L65" s="1">
        <f t="shared" si="15"/>
        <v>0</v>
      </c>
      <c r="M65" s="1">
        <f t="shared" si="10"/>
        <v>0</v>
      </c>
      <c r="N65" s="1">
        <f t="shared" si="11"/>
        <v>0</v>
      </c>
    </row>
    <row r="66" spans="1:14" ht="12.75">
      <c r="A66" s="10">
        <f t="shared" si="16"/>
      </c>
      <c r="B66" s="1">
        <f t="shared" si="17"/>
        <v>0</v>
      </c>
      <c r="C66" s="1">
        <f t="shared" si="12"/>
      </c>
      <c r="D66" s="1">
        <f t="shared" si="4"/>
      </c>
      <c r="E66" s="1">
        <f t="shared" si="5"/>
        <v>0</v>
      </c>
      <c r="F66" s="1">
        <f t="shared" si="6"/>
        <v>0</v>
      </c>
      <c r="G66" s="1">
        <f t="shared" si="7"/>
        <v>0</v>
      </c>
      <c r="H66" s="1">
        <f t="shared" si="13"/>
      </c>
      <c r="I66" s="1">
        <f t="shared" si="14"/>
        <v>0</v>
      </c>
      <c r="J66" s="1">
        <f t="shared" si="8"/>
        <v>0</v>
      </c>
      <c r="K66" s="1">
        <f t="shared" si="9"/>
        <v>0</v>
      </c>
      <c r="L66" s="1">
        <f t="shared" si="15"/>
        <v>0</v>
      </c>
      <c r="M66" s="1">
        <f t="shared" si="10"/>
        <v>0</v>
      </c>
      <c r="N66" s="1">
        <f t="shared" si="11"/>
        <v>0</v>
      </c>
    </row>
    <row r="67" spans="1:14" ht="12.75">
      <c r="A67" s="10">
        <f t="shared" si="16"/>
      </c>
      <c r="B67" s="1">
        <f t="shared" si="17"/>
        <v>0</v>
      </c>
      <c r="C67" s="1">
        <f t="shared" si="12"/>
      </c>
      <c r="D67" s="1">
        <f t="shared" si="4"/>
      </c>
      <c r="E67" s="1">
        <f t="shared" si="5"/>
        <v>0</v>
      </c>
      <c r="F67" s="1">
        <f t="shared" si="6"/>
        <v>0</v>
      </c>
      <c r="G67" s="1">
        <f t="shared" si="7"/>
        <v>0</v>
      </c>
      <c r="H67" s="1">
        <f t="shared" si="13"/>
      </c>
      <c r="I67" s="1">
        <f t="shared" si="14"/>
        <v>0</v>
      </c>
      <c r="J67" s="1">
        <f t="shared" si="8"/>
        <v>0</v>
      </c>
      <c r="K67" s="1">
        <f t="shared" si="9"/>
        <v>0</v>
      </c>
      <c r="L67" s="1">
        <f t="shared" si="15"/>
        <v>0</v>
      </c>
      <c r="M67" s="1">
        <f t="shared" si="10"/>
        <v>0</v>
      </c>
      <c r="N67" s="1">
        <f t="shared" si="11"/>
        <v>0</v>
      </c>
    </row>
    <row r="68" spans="1:14" ht="12.75">
      <c r="A68" s="10">
        <f t="shared" si="16"/>
      </c>
      <c r="B68" s="1">
        <f t="shared" si="17"/>
        <v>0</v>
      </c>
      <c r="C68" s="1">
        <f t="shared" si="12"/>
      </c>
      <c r="D68" s="1">
        <f t="shared" si="4"/>
      </c>
      <c r="E68" s="1">
        <f t="shared" si="5"/>
        <v>0</v>
      </c>
      <c r="F68" s="1">
        <f t="shared" si="6"/>
        <v>0</v>
      </c>
      <c r="G68" s="1">
        <f t="shared" si="7"/>
        <v>0</v>
      </c>
      <c r="H68" s="1">
        <f t="shared" si="13"/>
      </c>
      <c r="I68" s="1">
        <f t="shared" si="14"/>
        <v>0</v>
      </c>
      <c r="J68" s="1">
        <f t="shared" si="8"/>
        <v>0</v>
      </c>
      <c r="K68" s="1">
        <f t="shared" si="9"/>
        <v>0</v>
      </c>
      <c r="L68" s="1">
        <f t="shared" si="15"/>
        <v>0</v>
      </c>
      <c r="M68" s="1">
        <f t="shared" si="10"/>
        <v>0</v>
      </c>
      <c r="N68" s="1">
        <f t="shared" si="11"/>
        <v>0</v>
      </c>
    </row>
    <row r="69" spans="1:14" ht="12.75">
      <c r="A69" s="10">
        <f t="shared" si="16"/>
      </c>
      <c r="B69" s="1">
        <f t="shared" si="17"/>
        <v>0</v>
      </c>
      <c r="C69" s="1">
        <f t="shared" si="12"/>
      </c>
      <c r="D69" s="1">
        <f t="shared" si="4"/>
      </c>
      <c r="E69" s="1">
        <f t="shared" si="5"/>
        <v>0</v>
      </c>
      <c r="F69" s="1">
        <f t="shared" si="6"/>
        <v>0</v>
      </c>
      <c r="G69" s="1">
        <f t="shared" si="7"/>
        <v>0</v>
      </c>
      <c r="H69" s="1">
        <f t="shared" si="13"/>
      </c>
      <c r="I69" s="1">
        <f t="shared" si="14"/>
        <v>0</v>
      </c>
      <c r="J69" s="1">
        <f t="shared" si="8"/>
        <v>0</v>
      </c>
      <c r="K69" s="1">
        <f t="shared" si="9"/>
        <v>0</v>
      </c>
      <c r="L69" s="1">
        <f t="shared" si="15"/>
        <v>0</v>
      </c>
      <c r="M69" s="1">
        <f t="shared" si="10"/>
        <v>0</v>
      </c>
      <c r="N69" s="1">
        <f t="shared" si="11"/>
        <v>0</v>
      </c>
    </row>
    <row r="70" spans="1:14" ht="12.75">
      <c r="A70" s="10">
        <f t="shared" si="16"/>
      </c>
      <c r="B70" s="1">
        <f t="shared" si="17"/>
        <v>0</v>
      </c>
      <c r="C70" s="1">
        <f t="shared" si="12"/>
      </c>
      <c r="D70" s="1">
        <f t="shared" si="4"/>
      </c>
      <c r="E70" s="1">
        <f t="shared" si="5"/>
        <v>0</v>
      </c>
      <c r="F70" s="1">
        <f t="shared" si="6"/>
        <v>0</v>
      </c>
      <c r="G70" s="1">
        <f t="shared" si="7"/>
        <v>0</v>
      </c>
      <c r="H70" s="1">
        <f t="shared" si="13"/>
      </c>
      <c r="I70" s="1">
        <f t="shared" si="14"/>
        <v>0</v>
      </c>
      <c r="J70" s="1">
        <f t="shared" si="8"/>
        <v>0</v>
      </c>
      <c r="K70" s="1">
        <f t="shared" si="9"/>
        <v>0</v>
      </c>
      <c r="L70" s="1">
        <f t="shared" si="15"/>
        <v>0</v>
      </c>
      <c r="M70" s="1">
        <f t="shared" si="10"/>
        <v>0</v>
      </c>
      <c r="N70" s="1">
        <f t="shared" si="11"/>
        <v>0</v>
      </c>
    </row>
    <row r="71" spans="1:14" ht="12.75">
      <c r="A71" s="10">
        <f t="shared" si="16"/>
      </c>
      <c r="B71" s="1">
        <f t="shared" si="17"/>
        <v>0</v>
      </c>
      <c r="C71" s="1">
        <f t="shared" si="12"/>
      </c>
      <c r="D71" s="1">
        <f t="shared" si="4"/>
      </c>
      <c r="E71" s="1">
        <f t="shared" si="5"/>
        <v>0</v>
      </c>
      <c r="F71" s="1">
        <f t="shared" si="6"/>
        <v>0</v>
      </c>
      <c r="G71" s="1">
        <f t="shared" si="7"/>
        <v>0</v>
      </c>
      <c r="H71" s="1">
        <f t="shared" si="13"/>
      </c>
      <c r="I71" s="1">
        <f t="shared" si="14"/>
        <v>0</v>
      </c>
      <c r="J71" s="1">
        <f t="shared" si="8"/>
        <v>0</v>
      </c>
      <c r="K71" s="1">
        <f t="shared" si="9"/>
        <v>0</v>
      </c>
      <c r="L71" s="1">
        <f t="shared" si="15"/>
        <v>0</v>
      </c>
      <c r="M71" s="1">
        <f t="shared" si="10"/>
        <v>0</v>
      </c>
      <c r="N71" s="1">
        <f t="shared" si="11"/>
        <v>0</v>
      </c>
    </row>
    <row r="72" spans="1:14" ht="12.75">
      <c r="A72" s="10">
        <f t="shared" si="16"/>
      </c>
      <c r="B72" s="1">
        <f t="shared" si="17"/>
        <v>0</v>
      </c>
      <c r="C72" s="1">
        <f t="shared" si="12"/>
      </c>
      <c r="D72" s="1">
        <f t="shared" si="4"/>
      </c>
      <c r="E72" s="1">
        <f t="shared" si="5"/>
        <v>0</v>
      </c>
      <c r="F72" s="1">
        <f t="shared" si="6"/>
        <v>0</v>
      </c>
      <c r="G72" s="1">
        <f t="shared" si="7"/>
        <v>0</v>
      </c>
      <c r="H72" s="1">
        <f t="shared" si="13"/>
      </c>
      <c r="I72" s="1">
        <f t="shared" si="14"/>
        <v>0</v>
      </c>
      <c r="J72" s="1">
        <f t="shared" si="8"/>
        <v>0</v>
      </c>
      <c r="K72" s="1">
        <f t="shared" si="9"/>
        <v>0</v>
      </c>
      <c r="L72" s="1">
        <f t="shared" si="15"/>
        <v>0</v>
      </c>
      <c r="M72" s="1">
        <f t="shared" si="10"/>
        <v>0</v>
      </c>
      <c r="N72" s="1">
        <f t="shared" si="11"/>
        <v>0</v>
      </c>
    </row>
    <row r="73" spans="1:14" ht="12.75">
      <c r="A73" s="10">
        <f t="shared" si="16"/>
      </c>
      <c r="B73" s="1">
        <f t="shared" si="17"/>
        <v>0</v>
      </c>
      <c r="C73" s="1">
        <f t="shared" si="12"/>
      </c>
      <c r="D73" s="1">
        <f t="shared" si="4"/>
      </c>
      <c r="E73" s="1">
        <f t="shared" si="5"/>
        <v>0</v>
      </c>
      <c r="F73" s="1">
        <f t="shared" si="6"/>
        <v>0</v>
      </c>
      <c r="G73" s="1">
        <f t="shared" si="7"/>
        <v>0</v>
      </c>
      <c r="H73" s="1">
        <f t="shared" si="13"/>
      </c>
      <c r="I73" s="1">
        <f t="shared" si="14"/>
        <v>0</v>
      </c>
      <c r="J73" s="1">
        <f t="shared" si="8"/>
        <v>0</v>
      </c>
      <c r="K73" s="1">
        <f t="shared" si="9"/>
        <v>0</v>
      </c>
      <c r="L73" s="1">
        <f t="shared" si="15"/>
        <v>0</v>
      </c>
      <c r="M73" s="1">
        <f t="shared" si="10"/>
        <v>0</v>
      </c>
      <c r="N73" s="1">
        <f t="shared" si="11"/>
        <v>0</v>
      </c>
    </row>
    <row r="74" spans="1:14" ht="12.75">
      <c r="A74" s="10">
        <f t="shared" si="16"/>
      </c>
      <c r="B74" s="1">
        <f t="shared" si="17"/>
        <v>0</v>
      </c>
      <c r="C74" s="1">
        <f t="shared" si="12"/>
      </c>
      <c r="D74" s="1">
        <f t="shared" si="4"/>
      </c>
      <c r="E74" s="1">
        <f t="shared" si="5"/>
        <v>0</v>
      </c>
      <c r="F74" s="1">
        <f t="shared" si="6"/>
        <v>0</v>
      </c>
      <c r="G74" s="1">
        <f t="shared" si="7"/>
        <v>0</v>
      </c>
      <c r="H74" s="1">
        <f t="shared" si="13"/>
      </c>
      <c r="I74" s="1">
        <f t="shared" si="14"/>
        <v>0</v>
      </c>
      <c r="J74" s="1">
        <f t="shared" si="8"/>
        <v>0</v>
      </c>
      <c r="K74" s="1">
        <f t="shared" si="9"/>
        <v>0</v>
      </c>
      <c r="L74" s="1">
        <f t="shared" si="15"/>
        <v>0</v>
      </c>
      <c r="M74" s="1">
        <f t="shared" si="10"/>
        <v>0</v>
      </c>
      <c r="N74" s="1">
        <f t="shared" si="11"/>
        <v>0</v>
      </c>
    </row>
    <row r="75" spans="1:14" ht="12.75">
      <c r="A75" s="10"/>
      <c r="L75" s="1"/>
      <c r="M75" s="1"/>
      <c r="N75" s="1"/>
    </row>
    <row r="76" spans="1:14" ht="12.75">
      <c r="A76" s="10"/>
      <c r="L76" s="1"/>
      <c r="M76" s="1"/>
      <c r="N76" s="1"/>
    </row>
    <row r="77" spans="1:14" ht="12.75">
      <c r="A77" s="10"/>
      <c r="L77" s="1"/>
      <c r="M77" s="1"/>
      <c r="N77" s="1"/>
    </row>
    <row r="78" spans="1:14" ht="12.75">
      <c r="A78" s="10"/>
      <c r="L78" s="1"/>
      <c r="M78" s="1"/>
      <c r="N78" s="1"/>
    </row>
    <row r="79" spans="1:14" ht="12.75">
      <c r="A79" s="10"/>
      <c r="L79" s="1"/>
      <c r="M79" s="1"/>
      <c r="N79" s="1"/>
    </row>
    <row r="80" spans="1:14" ht="12.75">
      <c r="A80" s="10"/>
      <c r="L80" s="1"/>
      <c r="M80" s="1"/>
      <c r="N80" s="1"/>
    </row>
    <row r="81" spans="1:14" ht="12.75">
      <c r="A81" s="10"/>
      <c r="L81" s="1"/>
      <c r="M81" s="1"/>
      <c r="N81" s="1"/>
    </row>
    <row r="82" spans="1:14" ht="12.75">
      <c r="A82" s="10"/>
      <c r="L82" s="1"/>
      <c r="M82" s="1"/>
      <c r="N82" s="1"/>
    </row>
    <row r="83" spans="1:14" ht="12.75">
      <c r="A83" s="10"/>
      <c r="L83" s="1"/>
      <c r="M83" s="1"/>
      <c r="N83" s="1"/>
    </row>
    <row r="84" spans="1:14" ht="12.75">
      <c r="A84" s="10"/>
      <c r="L84" s="1"/>
      <c r="M84" s="1"/>
      <c r="N84" s="1"/>
    </row>
    <row r="85" spans="1:14" ht="12.75">
      <c r="A85" s="10"/>
      <c r="L85" s="1"/>
      <c r="M85" s="1"/>
      <c r="N85" s="1"/>
    </row>
    <row r="86" spans="1:14" ht="12.75">
      <c r="A86" s="10"/>
      <c r="L86" s="1"/>
      <c r="M86" s="1"/>
      <c r="N86" s="1"/>
    </row>
    <row r="87" spans="1:14" ht="12.75">
      <c r="A87" s="10"/>
      <c r="L87" s="1"/>
      <c r="M87" s="1"/>
      <c r="N87" s="1"/>
    </row>
    <row r="88" spans="1:14" ht="12.75">
      <c r="A88" s="10"/>
      <c r="L88" s="1"/>
      <c r="M88" s="1"/>
      <c r="N88" s="1"/>
    </row>
    <row r="89" spans="1:14" ht="12.75">
      <c r="A89" s="10"/>
      <c r="L89" s="1"/>
      <c r="M89" s="1"/>
      <c r="N89" s="1"/>
    </row>
    <row r="90" spans="1:14" ht="12.75">
      <c r="A90" s="10"/>
      <c r="L90" s="1"/>
      <c r="M90" s="1"/>
      <c r="N90" s="1"/>
    </row>
    <row r="91" spans="1:14" ht="12.75">
      <c r="A91" s="10"/>
      <c r="L91" s="1"/>
      <c r="M91" s="1"/>
      <c r="N91" s="1"/>
    </row>
    <row r="92" spans="1:14" ht="12.75">
      <c r="A92" s="10"/>
      <c r="L92" s="1"/>
      <c r="M92" s="1"/>
      <c r="N92" s="1"/>
    </row>
    <row r="93" spans="1:14" ht="12.75">
      <c r="A93" s="10"/>
      <c r="L93" s="1"/>
      <c r="M93" s="1"/>
      <c r="N93" s="1"/>
    </row>
    <row r="94" spans="1:14" ht="12.75">
      <c r="A94" s="10"/>
      <c r="L94" s="1"/>
      <c r="M94" s="1"/>
      <c r="N94" s="1"/>
    </row>
  </sheetData>
  <sheetProtection/>
  <conditionalFormatting sqref="A30:A94">
    <cfRule type="cellIs" priority="1" dxfId="0" operator="equal" stopIfTrue="1">
      <formula>""""""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2" sqref="A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Braito</dc:creator>
  <cp:keywords/>
  <dc:description/>
  <cp:lastModifiedBy>Gerold Walder</cp:lastModifiedBy>
  <cp:lastPrinted>2014-01-16T14:54:38Z</cp:lastPrinted>
  <dcterms:created xsi:type="dcterms:W3CDTF">1997-08-27T10:03:19Z</dcterms:created>
  <dcterms:modified xsi:type="dcterms:W3CDTF">2016-03-17T05:31:21Z</dcterms:modified>
  <cp:category/>
  <cp:version/>
  <cp:contentType/>
  <cp:contentStatus/>
</cp:coreProperties>
</file>