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8461431\Seafile\Webshare\Excel Tools Webseite\"/>
    </mc:Choice>
  </mc:AlternateContent>
  <xr:revisionPtr revIDLastSave="0" documentId="13_ncr:1_{CE313298-F73C-4FD2-A98E-71AE5A8675F7}" xr6:coauthVersionLast="47" xr6:coauthVersionMax="47" xr10:uidLastSave="{00000000-0000-0000-0000-000000000000}"/>
  <bookViews>
    <workbookView xWindow="-38520" yWindow="-15765" windowWidth="38640" windowHeight="21120" xr2:uid="{00000000-000D-0000-FFFF-FFFF00000000}"/>
  </bookViews>
  <sheets>
    <sheet name="Terms of Use" sheetId="13" r:id="rId1"/>
    <sheet name="U_value_Glaser_wall" sheetId="12" r:id="rId2"/>
    <sheet name="Materials_Climate" sheetId="10" r:id="rId3"/>
    <sheet name="U_value_tube" sheetId="1" r:id="rId4"/>
    <sheet name="heat exchanger" sheetId="2" r:id="rId5"/>
    <sheet name="combustion" sheetId="3" r:id="rId6"/>
  </sheets>
  <definedNames>
    <definedName name="_xlnm._FilterDatabase" localSheetId="2" hidden="1">Materials_Climate!$F$3:$R$11</definedName>
    <definedName name="Month">U_value_Glaser_wall!$A$51:$E$62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2" l="1"/>
  <c r="C61" i="12"/>
  <c r="C60" i="12"/>
  <c r="C59" i="12"/>
  <c r="C58" i="12"/>
  <c r="C57" i="12"/>
  <c r="C56" i="12"/>
  <c r="C55" i="12"/>
  <c r="C54" i="12"/>
  <c r="C53" i="12"/>
  <c r="C51" i="12"/>
  <c r="B62" i="12"/>
  <c r="B61" i="12"/>
  <c r="B60" i="12"/>
  <c r="B59" i="12"/>
  <c r="B58" i="12"/>
  <c r="B57" i="12"/>
  <c r="B56" i="12"/>
  <c r="B55" i="12"/>
  <c r="B54" i="12"/>
  <c r="B53" i="12"/>
  <c r="B52" i="12"/>
  <c r="C52" i="12"/>
  <c r="B51" i="12"/>
  <c r="F6" i="12"/>
  <c r="F5" i="12"/>
  <c r="E6" i="12"/>
  <c r="E5" i="12"/>
  <c r="D6" i="12"/>
  <c r="D5" i="12"/>
  <c r="C6" i="12"/>
  <c r="C5" i="12"/>
  <c r="E56" i="12"/>
  <c r="E57" i="12"/>
  <c r="E58" i="12"/>
  <c r="E59" i="12"/>
  <c r="E60" i="12"/>
  <c r="E61" i="12"/>
  <c r="E62" i="12"/>
  <c r="I61" i="12" l="1"/>
  <c r="I77" i="12" s="1"/>
  <c r="I60" i="12"/>
  <c r="I76" i="12" s="1"/>
  <c r="I59" i="12"/>
  <c r="I75" i="12" s="1"/>
  <c r="I58" i="12"/>
  <c r="I74" i="12" s="1"/>
  <c r="I56" i="12"/>
  <c r="I72" i="12" s="1"/>
  <c r="I55" i="12"/>
  <c r="I71" i="12" s="1"/>
  <c r="I53" i="12"/>
  <c r="I52" i="12"/>
  <c r="I51" i="12"/>
  <c r="E52" i="12"/>
  <c r="E53" i="12"/>
  <c r="E54" i="12"/>
  <c r="E55" i="12"/>
  <c r="E51" i="12"/>
  <c r="C13" i="12"/>
  <c r="E13" i="12"/>
  <c r="C10" i="12"/>
  <c r="C7" i="12"/>
  <c r="C9" i="12"/>
  <c r="D13" i="12"/>
  <c r="F13" i="12"/>
  <c r="D19" i="12"/>
  <c r="D20" i="12" s="1"/>
  <c r="E19" i="12"/>
  <c r="E20" i="12" s="1"/>
  <c r="F19" i="12"/>
  <c r="F20" i="12" s="1"/>
  <c r="C19" i="12"/>
  <c r="C20" i="12" s="1"/>
  <c r="F35" i="12"/>
  <c r="G35" i="12" s="1"/>
  <c r="E35" i="12"/>
  <c r="C35" i="12"/>
  <c r="C24" i="12"/>
  <c r="J48" i="12" s="1"/>
  <c r="G20" i="12"/>
  <c r="B20" i="12"/>
  <c r="B29" i="12" s="1"/>
  <c r="G13" i="12"/>
  <c r="B13" i="12"/>
  <c r="D12" i="12"/>
  <c r="B36" i="12" s="1"/>
  <c r="Q75" i="12" l="1"/>
  <c r="B9" i="12"/>
  <c r="B25" i="12" s="1"/>
  <c r="B10" i="12"/>
  <c r="Q74" i="12"/>
  <c r="Q71" i="12"/>
  <c r="Q72" i="12"/>
  <c r="Q76" i="12"/>
  <c r="Q77" i="12"/>
  <c r="I69" i="12"/>
  <c r="Q69" i="12" s="1"/>
  <c r="D24" i="12"/>
  <c r="K48" i="12" s="1"/>
  <c r="I68" i="12"/>
  <c r="Q68" i="12" s="1"/>
  <c r="I62" i="12"/>
  <c r="I78" i="12" s="1"/>
  <c r="Q78" i="12" s="1"/>
  <c r="I57" i="12"/>
  <c r="I73" i="12" s="1"/>
  <c r="Q73" i="12" s="1"/>
  <c r="I54" i="12"/>
  <c r="I70" i="12" s="1"/>
  <c r="Q70" i="12" s="1"/>
  <c r="E12" i="12"/>
  <c r="G14" i="12"/>
  <c r="G15" i="12" s="1"/>
  <c r="D29" i="12"/>
  <c r="G21" i="12"/>
  <c r="H28" i="12" s="1"/>
  <c r="D36" i="12"/>
  <c r="E36" i="12" s="1"/>
  <c r="C36" i="12"/>
  <c r="B21" i="12"/>
  <c r="G16" i="12"/>
  <c r="B26" i="12" l="1"/>
  <c r="I67" i="12"/>
  <c r="Q67" i="12" s="1"/>
  <c r="E24" i="12"/>
  <c r="L48" i="12" s="1"/>
  <c r="F12" i="12"/>
  <c r="B37" i="12"/>
  <c r="F36" i="12"/>
  <c r="G36" i="12" s="1"/>
  <c r="E29" i="12"/>
  <c r="C28" i="12"/>
  <c r="C21" i="12"/>
  <c r="B27" i="12" l="1"/>
  <c r="D37" i="12"/>
  <c r="E37" i="12" s="1"/>
  <c r="C37" i="12"/>
  <c r="B38" i="12"/>
  <c r="G12" i="12"/>
  <c r="F24" i="12"/>
  <c r="M48" i="12" s="1"/>
  <c r="F29" i="12"/>
  <c r="F37" i="12"/>
  <c r="G37" i="12" s="1"/>
  <c r="D28" i="12"/>
  <c r="D21" i="12"/>
  <c r="H24" i="12" l="1"/>
  <c r="O48" i="12" s="1"/>
  <c r="B24" i="12"/>
  <c r="I48" i="12" s="1"/>
  <c r="G24" i="12"/>
  <c r="N48" i="12" s="1"/>
  <c r="B39" i="12"/>
  <c r="D38" i="12"/>
  <c r="E38" i="12" s="1"/>
  <c r="C38" i="12"/>
  <c r="G29" i="12"/>
  <c r="F38" i="12"/>
  <c r="G38" i="12" s="1"/>
  <c r="E28" i="12"/>
  <c r="E21" i="12"/>
  <c r="C39" i="12" l="1"/>
  <c r="D39" i="12"/>
  <c r="E39" i="12" s="1"/>
  <c r="F39" i="12"/>
  <c r="G39" i="12" s="1"/>
  <c r="H29" i="12"/>
  <c r="F21" i="12"/>
  <c r="F28" i="12"/>
  <c r="G28" i="12" l="1"/>
  <c r="B14" i="2" l="1"/>
  <c r="B18" i="2" s="1"/>
  <c r="B13" i="2"/>
  <c r="B17" i="2" s="1"/>
  <c r="G21" i="3"/>
  <c r="G13" i="3"/>
  <c r="G48" i="3" s="1"/>
  <c r="G14" i="3"/>
  <c r="G16" i="3" s="1"/>
  <c r="E10" i="3"/>
  <c r="F10" i="3"/>
  <c r="G10" i="3"/>
  <c r="D4" i="3"/>
  <c r="D44" i="3" s="1"/>
  <c r="D45" i="3"/>
  <c r="D27" i="3"/>
  <c r="E13" i="3"/>
  <c r="E14" i="3" s="1"/>
  <c r="E48" i="3"/>
  <c r="B3" i="3"/>
  <c r="G44" i="3"/>
  <c r="F45" i="3"/>
  <c r="G45" i="3"/>
  <c r="F47" i="3"/>
  <c r="G47" i="3"/>
  <c r="F21" i="3"/>
  <c r="E21" i="3"/>
  <c r="E22" i="3" s="1"/>
  <c r="E47" i="3"/>
  <c r="E45" i="3"/>
  <c r="E44" i="3"/>
  <c r="G29" i="3"/>
  <c r="F29" i="3"/>
  <c r="E29" i="3"/>
  <c r="G27" i="3"/>
  <c r="F27" i="3"/>
  <c r="E27" i="3"/>
  <c r="G26" i="3"/>
  <c r="F26" i="3"/>
  <c r="E26" i="3"/>
  <c r="F13" i="3"/>
  <c r="F14" i="3" s="1"/>
  <c r="D5" i="3"/>
  <c r="D47" i="3" s="1"/>
  <c r="F22" i="3"/>
  <c r="F48" i="3"/>
  <c r="K3" i="2"/>
  <c r="K4" i="2" s="1"/>
  <c r="K5" i="2" s="1"/>
  <c r="F6" i="2"/>
  <c r="F5" i="2"/>
  <c r="H13" i="2"/>
  <c r="F12" i="2"/>
  <c r="F11" i="2"/>
  <c r="F10" i="2"/>
  <c r="D17" i="1"/>
  <c r="D13" i="1"/>
  <c r="D15" i="1" s="1"/>
  <c r="D12" i="1"/>
  <c r="D14" i="1" s="1"/>
  <c r="G54" i="3" l="1"/>
  <c r="D25" i="1"/>
  <c r="G17" i="3"/>
  <c r="G31" i="3"/>
  <c r="F16" i="3"/>
  <c r="F15" i="3"/>
  <c r="F49" i="3" s="1"/>
  <c r="F50" i="3" s="1"/>
  <c r="F30" i="3"/>
  <c r="F35" i="3"/>
  <c r="F54" i="3"/>
  <c r="F20" i="3"/>
  <c r="E20" i="3"/>
  <c r="E30" i="3"/>
  <c r="E35" i="3"/>
  <c r="E38" i="3" s="1"/>
  <c r="E54" i="3"/>
  <c r="E16" i="3"/>
  <c r="E15" i="3"/>
  <c r="E49" i="3" s="1"/>
  <c r="E50" i="3" s="1"/>
  <c r="G15" i="3"/>
  <c r="G49" i="3" s="1"/>
  <c r="G50" i="3" s="1"/>
  <c r="G35" i="3"/>
  <c r="G39" i="3" s="1"/>
  <c r="G22" i="3"/>
  <c r="D18" i="1"/>
  <c r="G20" i="3"/>
  <c r="D19" i="1"/>
  <c r="D10" i="3"/>
  <c r="D13" i="3"/>
  <c r="D26" i="3"/>
  <c r="D29" i="3"/>
  <c r="D20" i="1"/>
  <c r="G30" i="3"/>
  <c r="B16" i="2"/>
  <c r="B28" i="2" s="1"/>
  <c r="B15" i="2"/>
  <c r="B19" i="2" s="1"/>
  <c r="E40" i="3" l="1"/>
  <c r="G38" i="3"/>
  <c r="G36" i="3"/>
  <c r="G37" i="3"/>
  <c r="D22" i="1"/>
  <c r="D23" i="1" s="1"/>
  <c r="F40" i="3"/>
  <c r="F39" i="3"/>
  <c r="F36" i="3"/>
  <c r="F37" i="3"/>
  <c r="F38" i="3"/>
  <c r="F42" i="3" s="1"/>
  <c r="E17" i="3"/>
  <c r="E31" i="3"/>
  <c r="F31" i="3"/>
  <c r="F41" i="3" s="1"/>
  <c r="F17" i="3"/>
  <c r="G40" i="3"/>
  <c r="G42" i="3" s="1"/>
  <c r="G32" i="3"/>
  <c r="G33" i="3" s="1"/>
  <c r="E39" i="3"/>
  <c r="E37" i="3"/>
  <c r="E36" i="3"/>
  <c r="G41" i="3"/>
  <c r="D48" i="3"/>
  <c r="D14" i="3"/>
  <c r="B21" i="2"/>
  <c r="D31" i="2"/>
  <c r="B30" i="2"/>
  <c r="B29" i="2"/>
  <c r="D30" i="3" l="1"/>
  <c r="D54" i="3"/>
  <c r="D20" i="3"/>
  <c r="D35" i="3"/>
  <c r="D38" i="3" s="1"/>
  <c r="D16" i="3"/>
  <c r="D15" i="3"/>
  <c r="D49" i="3" s="1"/>
  <c r="E41" i="3"/>
  <c r="E42" i="3" s="1"/>
  <c r="E32" i="3"/>
  <c r="E33" i="3" s="1"/>
  <c r="D50" i="3"/>
  <c r="F32" i="3"/>
  <c r="F33" i="3" s="1"/>
  <c r="B35" i="2"/>
  <c r="B22" i="2"/>
  <c r="B23" i="2"/>
  <c r="G6" i="2"/>
  <c r="I6" i="2" s="1"/>
  <c r="G9" i="2" s="1"/>
  <c r="G11" i="2"/>
  <c r="G10" i="2"/>
  <c r="B32" i="2"/>
  <c r="G5" i="2"/>
  <c r="I5" i="2" s="1"/>
  <c r="B31" i="2"/>
  <c r="D40" i="3" l="1"/>
  <c r="D31" i="3"/>
  <c r="D41" i="3" s="1"/>
  <c r="D17" i="3"/>
  <c r="D37" i="3"/>
  <c r="D39" i="3"/>
  <c r="D36" i="3"/>
  <c r="D22" i="2"/>
  <c r="B26" i="2"/>
  <c r="B25" i="2"/>
  <c r="F13" i="2"/>
  <c r="I13" i="2" s="1"/>
  <c r="H9" i="2" s="1"/>
  <c r="H12" i="2"/>
  <c r="I12" i="2" s="1"/>
  <c r="B24" i="2"/>
  <c r="D42" i="3" l="1"/>
  <c r="D32" i="3"/>
  <c r="D33" i="3" s="1"/>
  <c r="G13" i="2"/>
  <c r="G12" i="2"/>
  <c r="D55" i="12" l="1"/>
  <c r="H55" i="12" s="1"/>
  <c r="J55" i="12" s="1"/>
  <c r="K55" i="12" s="1"/>
  <c r="D52" i="12"/>
  <c r="H52" i="12" s="1"/>
  <c r="J52" i="12" s="1"/>
  <c r="J68" i="12" s="1"/>
  <c r="D56" i="12"/>
  <c r="H56" i="12" s="1"/>
  <c r="J56" i="12" s="1"/>
  <c r="D53" i="12"/>
  <c r="H53" i="12" s="1"/>
  <c r="J53" i="12" s="1"/>
  <c r="D61" i="12"/>
  <c r="H61" i="12" s="1"/>
  <c r="J61" i="12" s="1"/>
  <c r="D60" i="12"/>
  <c r="H60" i="12" s="1"/>
  <c r="J60" i="12" s="1"/>
  <c r="K60" i="12" s="1"/>
  <c r="D58" i="12"/>
  <c r="H58" i="12" s="1"/>
  <c r="J58" i="12" s="1"/>
  <c r="D62" i="12"/>
  <c r="H62" i="12" s="1"/>
  <c r="J62" i="12" s="1"/>
  <c r="D54" i="12"/>
  <c r="H54" i="12" s="1"/>
  <c r="J54" i="12" s="1"/>
  <c r="K54" i="12" s="1"/>
  <c r="D57" i="12"/>
  <c r="H57" i="12" s="1"/>
  <c r="J57" i="12" s="1"/>
  <c r="G17" i="12"/>
  <c r="C25" i="12" s="1"/>
  <c r="D25" i="12" s="1"/>
  <c r="D59" i="12"/>
  <c r="H59" i="12" s="1"/>
  <c r="J59" i="12" s="1"/>
  <c r="J75" i="12" s="1"/>
  <c r="D51" i="12"/>
  <c r="H51" i="12" s="1"/>
  <c r="J51" i="12" s="1"/>
  <c r="H26" i="12"/>
  <c r="H27" i="12" s="1"/>
  <c r="J70" i="12" l="1"/>
  <c r="J67" i="12"/>
  <c r="K51" i="12"/>
  <c r="J69" i="12"/>
  <c r="K53" i="12"/>
  <c r="L53" i="12" s="1"/>
  <c r="L69" i="12" s="1"/>
  <c r="J74" i="12"/>
  <c r="K58" i="12"/>
  <c r="K74" i="12" s="1"/>
  <c r="J76" i="12"/>
  <c r="K52" i="12"/>
  <c r="K68" i="12" s="1"/>
  <c r="L55" i="12"/>
  <c r="M55" i="12" s="1"/>
  <c r="K71" i="12"/>
  <c r="K62" i="12"/>
  <c r="L62" i="12" s="1"/>
  <c r="J78" i="12"/>
  <c r="E25" i="12"/>
  <c r="E26" i="12" s="1"/>
  <c r="D26" i="12"/>
  <c r="J71" i="12"/>
  <c r="J72" i="12"/>
  <c r="K56" i="12"/>
  <c r="K57" i="12"/>
  <c r="J73" i="12"/>
  <c r="L54" i="12"/>
  <c r="K70" i="12"/>
  <c r="K76" i="12"/>
  <c r="L60" i="12"/>
  <c r="K61" i="12"/>
  <c r="J77" i="12"/>
  <c r="G22" i="12"/>
  <c r="C27" i="12" s="1"/>
  <c r="K59" i="12"/>
  <c r="C26" i="12"/>
  <c r="M53" i="12" l="1"/>
  <c r="M69" i="12" s="1"/>
  <c r="K69" i="12"/>
  <c r="L52" i="12"/>
  <c r="M52" i="12" s="1"/>
  <c r="L71" i="12"/>
  <c r="L51" i="12"/>
  <c r="K67" i="12"/>
  <c r="L58" i="12"/>
  <c r="L74" i="12" s="1"/>
  <c r="F25" i="12"/>
  <c r="F26" i="12" s="1"/>
  <c r="K78" i="12"/>
  <c r="K75" i="12"/>
  <c r="L59" i="12"/>
  <c r="D27" i="12"/>
  <c r="M54" i="12"/>
  <c r="L70" i="12"/>
  <c r="N55" i="12"/>
  <c r="M71" i="12"/>
  <c r="M62" i="12"/>
  <c r="L78" i="12"/>
  <c r="L57" i="12"/>
  <c r="K73" i="12"/>
  <c r="K77" i="12"/>
  <c r="L61" i="12"/>
  <c r="L56" i="12"/>
  <c r="K72" i="12"/>
  <c r="L76" i="12"/>
  <c r="M60" i="12"/>
  <c r="N53" i="12" l="1"/>
  <c r="O53" i="12" s="1"/>
  <c r="O69" i="12" s="1"/>
  <c r="W69" i="12" s="1"/>
  <c r="H69" i="12" s="1"/>
  <c r="L68" i="12"/>
  <c r="M58" i="12"/>
  <c r="N58" i="12" s="1"/>
  <c r="G25" i="12"/>
  <c r="G26" i="12" s="1"/>
  <c r="M51" i="12"/>
  <c r="L67" i="12"/>
  <c r="M70" i="12"/>
  <c r="N54" i="12"/>
  <c r="L77" i="12"/>
  <c r="M61" i="12"/>
  <c r="M76" i="12"/>
  <c r="N60" i="12"/>
  <c r="M57" i="12"/>
  <c r="L73" i="12"/>
  <c r="E27" i="12"/>
  <c r="L75" i="12"/>
  <c r="M59" i="12"/>
  <c r="M78" i="12"/>
  <c r="N62" i="12"/>
  <c r="M68" i="12"/>
  <c r="N52" i="12"/>
  <c r="M56" i="12"/>
  <c r="L72" i="12"/>
  <c r="N71" i="12"/>
  <c r="O55" i="12"/>
  <c r="O71" i="12" s="1"/>
  <c r="W71" i="12" s="1"/>
  <c r="H71" i="12" s="1"/>
  <c r="N69" i="12" l="1"/>
  <c r="V88" i="12" s="1"/>
  <c r="U88" i="12"/>
  <c r="U90" i="12"/>
  <c r="V90" i="12"/>
  <c r="R88" i="12"/>
  <c r="S88" i="12"/>
  <c r="T88" i="12"/>
  <c r="S90" i="12"/>
  <c r="T90" i="12"/>
  <c r="R90" i="12"/>
  <c r="R69" i="12"/>
  <c r="S69" i="12" s="1"/>
  <c r="T69" i="12" s="1"/>
  <c r="U69" i="12" s="1"/>
  <c r="V69" i="12" s="1"/>
  <c r="R71" i="12"/>
  <c r="S71" i="12" s="1"/>
  <c r="T71" i="12" s="1"/>
  <c r="U71" i="12" s="1"/>
  <c r="V71" i="12" s="1"/>
  <c r="M74" i="12"/>
  <c r="H25" i="12"/>
  <c r="C34" i="12" s="1"/>
  <c r="N51" i="12"/>
  <c r="M67" i="12"/>
  <c r="N61" i="12"/>
  <c r="M77" i="12"/>
  <c r="N78" i="12"/>
  <c r="O62" i="12"/>
  <c r="O78" i="12" s="1"/>
  <c r="W78" i="12" s="1"/>
  <c r="N59" i="12"/>
  <c r="M75" i="12"/>
  <c r="F27" i="12"/>
  <c r="N57" i="12"/>
  <c r="M73" i="12"/>
  <c r="M72" i="12"/>
  <c r="N56" i="12"/>
  <c r="O52" i="12"/>
  <c r="O68" i="12" s="1"/>
  <c r="W68" i="12" s="1"/>
  <c r="N68" i="12"/>
  <c r="N74" i="12"/>
  <c r="O58" i="12"/>
  <c r="O74" i="12" s="1"/>
  <c r="W74" i="12" s="1"/>
  <c r="H74" i="12" s="1"/>
  <c r="N70" i="12"/>
  <c r="O54" i="12"/>
  <c r="O70" i="12" s="1"/>
  <c r="W70" i="12" s="1"/>
  <c r="H70" i="12" s="1"/>
  <c r="N76" i="12"/>
  <c r="O60" i="12"/>
  <c r="O76" i="12" s="1"/>
  <c r="W76" i="12" s="1"/>
  <c r="H76" i="12" l="1"/>
  <c r="R76" i="12" s="1"/>
  <c r="S76" i="12" s="1"/>
  <c r="T76" i="12" s="1"/>
  <c r="U76" i="12" s="1"/>
  <c r="V76" i="12" s="1"/>
  <c r="R95" i="12"/>
  <c r="T95" i="12"/>
  <c r="U95" i="12"/>
  <c r="V95" i="12"/>
  <c r="S95" i="12"/>
  <c r="H78" i="12"/>
  <c r="R78" i="12" s="1"/>
  <c r="S78" i="12" s="1"/>
  <c r="T78" i="12" s="1"/>
  <c r="U78" i="12" s="1"/>
  <c r="V78" i="12" s="1"/>
  <c r="T85" i="12"/>
  <c r="T87" i="12"/>
  <c r="H68" i="12"/>
  <c r="R68" i="12" s="1"/>
  <c r="S68" i="12" s="1"/>
  <c r="T68" i="12" s="1"/>
  <c r="U68" i="12" s="1"/>
  <c r="V68" i="12" s="1"/>
  <c r="V85" i="12"/>
  <c r="U85" i="12"/>
  <c r="U83" i="12"/>
  <c r="M83" i="12" s="1"/>
  <c r="V83" i="12"/>
  <c r="N83" i="12" s="1"/>
  <c r="V93" i="12"/>
  <c r="U93" i="12"/>
  <c r="U89" i="12"/>
  <c r="V89" i="12"/>
  <c r="U87" i="12"/>
  <c r="V87" i="12"/>
  <c r="R93" i="12"/>
  <c r="T93" i="12"/>
  <c r="S93" i="12"/>
  <c r="S83" i="12"/>
  <c r="K83" i="12" s="1"/>
  <c r="T83" i="12"/>
  <c r="L83" i="12" s="1"/>
  <c r="R83" i="12"/>
  <c r="J83" i="12" s="1"/>
  <c r="R89" i="12"/>
  <c r="S89" i="12"/>
  <c r="T89" i="12"/>
  <c r="S85" i="12"/>
  <c r="R85" i="12"/>
  <c r="R87" i="12"/>
  <c r="S87" i="12"/>
  <c r="R70" i="12"/>
  <c r="S70" i="12" s="1"/>
  <c r="T70" i="12" s="1"/>
  <c r="U70" i="12" s="1"/>
  <c r="V70" i="12" s="1"/>
  <c r="R74" i="12"/>
  <c r="S74" i="12" s="1"/>
  <c r="T74" i="12" s="1"/>
  <c r="U74" i="12" s="1"/>
  <c r="V74" i="12" s="1"/>
  <c r="B34" i="12"/>
  <c r="O51" i="12"/>
  <c r="O67" i="12" s="1"/>
  <c r="W67" i="12" s="1"/>
  <c r="H67" i="12" s="1"/>
  <c r="N67" i="12"/>
  <c r="N73" i="12"/>
  <c r="O57" i="12"/>
  <c r="O73" i="12" s="1"/>
  <c r="W73" i="12" s="1"/>
  <c r="H73" i="12" s="1"/>
  <c r="G27" i="12"/>
  <c r="E34" i="12" s="1"/>
  <c r="N75" i="12"/>
  <c r="O59" i="12"/>
  <c r="O75" i="12" s="1"/>
  <c r="W75" i="12" s="1"/>
  <c r="H75" i="12" s="1"/>
  <c r="N72" i="12"/>
  <c r="O56" i="12"/>
  <c r="O72" i="12" s="1"/>
  <c r="W72" i="12" s="1"/>
  <c r="H72" i="12" s="1"/>
  <c r="O61" i="12"/>
  <c r="O77" i="12" s="1"/>
  <c r="W77" i="12" s="1"/>
  <c r="N77" i="12"/>
  <c r="R96" i="12" l="1"/>
  <c r="S96" i="12"/>
  <c r="T96" i="12"/>
  <c r="U96" i="12"/>
  <c r="V96" i="12"/>
  <c r="T84" i="12"/>
  <c r="H77" i="12"/>
  <c r="R77" i="12" s="1"/>
  <c r="S77" i="12" s="1"/>
  <c r="T77" i="12" s="1"/>
  <c r="U77" i="12" s="1"/>
  <c r="V77" i="12" s="1"/>
  <c r="D34" i="12"/>
  <c r="F34" i="12" s="1"/>
  <c r="V91" i="12"/>
  <c r="U91" i="12"/>
  <c r="V84" i="12"/>
  <c r="N84" i="12" s="1"/>
  <c r="N85" i="12" s="1"/>
  <c r="U84" i="12"/>
  <c r="M84" i="12" s="1"/>
  <c r="M85" i="12" s="1"/>
  <c r="V94" i="12"/>
  <c r="U94" i="12"/>
  <c r="V92" i="12"/>
  <c r="U92" i="12"/>
  <c r="S84" i="12"/>
  <c r="K84" i="12" s="1"/>
  <c r="K85" i="12" s="1"/>
  <c r="R84" i="12"/>
  <c r="J84" i="12" s="1"/>
  <c r="J85" i="12" s="1"/>
  <c r="R92" i="12"/>
  <c r="T92" i="12"/>
  <c r="S92" i="12"/>
  <c r="R91" i="12"/>
  <c r="S91" i="12"/>
  <c r="T91" i="12"/>
  <c r="R94" i="12"/>
  <c r="T94" i="12"/>
  <c r="S94" i="12"/>
  <c r="R75" i="12"/>
  <c r="S75" i="12" s="1"/>
  <c r="T75" i="12" s="1"/>
  <c r="U75" i="12" s="1"/>
  <c r="V75" i="12" s="1"/>
  <c r="R73" i="12"/>
  <c r="S73" i="12" s="1"/>
  <c r="T73" i="12" s="1"/>
  <c r="U73" i="12" s="1"/>
  <c r="V73" i="12" s="1"/>
  <c r="R72" i="12"/>
  <c r="S72" i="12" s="1"/>
  <c r="T72" i="12" s="1"/>
  <c r="U72" i="12" s="1"/>
  <c r="V72" i="12" s="1"/>
  <c r="G34" i="12"/>
  <c r="L84" i="12" l="1"/>
  <c r="L85" i="12" s="1"/>
  <c r="T86" i="12" l="1"/>
  <c r="L86" i="12" s="1"/>
  <c r="L87" i="12" s="1"/>
  <c r="L88" i="12" s="1"/>
  <c r="L89" i="12" s="1"/>
  <c r="L90" i="12" s="1"/>
  <c r="L91" i="12" s="1"/>
  <c r="L92" i="12" s="1"/>
  <c r="L93" i="12" s="1"/>
  <c r="L94" i="12" s="1"/>
  <c r="L95" i="12" s="1"/>
  <c r="L96" i="12" s="1"/>
  <c r="R86" i="12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S86" i="12"/>
  <c r="K86" i="12" s="1"/>
  <c r="K87" i="12" s="1"/>
  <c r="K88" i="12" s="1"/>
  <c r="K89" i="12" s="1"/>
  <c r="K90" i="12" s="1"/>
  <c r="K91" i="12" s="1"/>
  <c r="K92" i="12" s="1"/>
  <c r="K93" i="12" s="1"/>
  <c r="K94" i="12" s="1"/>
  <c r="K95" i="12" s="1"/>
  <c r="K96" i="12" s="1"/>
  <c r="U86" i="12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R67" i="12"/>
  <c r="S67" i="12" s="1"/>
  <c r="T67" i="12" s="1"/>
  <c r="U67" i="12" s="1"/>
  <c r="V67" i="12" s="1"/>
  <c r="V86" i="12"/>
  <c r="N86" i="12" s="1"/>
  <c r="N87" i="12" s="1"/>
  <c r="N88" i="12" s="1"/>
  <c r="N89" i="12" s="1"/>
  <c r="N90" i="12" s="1"/>
  <c r="N91" i="12" s="1"/>
  <c r="N92" i="12" s="1"/>
  <c r="N93" i="12" s="1"/>
  <c r="N94" i="12" s="1"/>
  <c r="N95" i="12" s="1"/>
  <c r="N9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Streicher, Wolfgang</author>
  </authors>
  <commentList>
    <comment ref="B8" authorId="0" shapeId="0" xr:uid="{6E8A608E-972B-40AB-965C-50775AFE737E}">
      <text>
        <r>
          <rPr>
            <b/>
            <sz val="9"/>
            <color indexed="81"/>
            <rFont val="Segoe UI"/>
            <family val="2"/>
          </rPr>
          <t>Streicher, Wolfgang:</t>
        </r>
        <r>
          <rPr>
            <sz val="9"/>
            <color indexed="81"/>
            <rFont val="Segoe UI"/>
            <family val="2"/>
          </rPr>
          <t xml:space="preserve">
if Hot/Cold is chosen: Jan = Cold month
Feb = Hot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Beck, Simon</author>
  </authors>
  <commentList>
    <comment ref="C3" authorId="0" shapeId="0" xr:uid="{D8E6B237-897B-419E-87A5-A4174EBFDF32}">
      <text>
        <r>
          <rPr>
            <b/>
            <sz val="9"/>
            <color indexed="81"/>
            <rFont val="Segoe UI"/>
            <family val="2"/>
          </rPr>
          <t>Beck, Simon:</t>
        </r>
        <r>
          <rPr>
            <sz val="9"/>
            <color indexed="81"/>
            <rFont val="Segoe UI"/>
            <family val="2"/>
          </rPr>
          <t xml:space="preserve">
Wärmeleitfähigkeit
in W/mK</t>
        </r>
      </text>
    </comment>
    <comment ref="D3" authorId="0" shapeId="0" xr:uid="{CCEE9A02-D1E4-4518-83B5-ECF97DE6C86E}">
      <text>
        <r>
          <rPr>
            <b/>
            <sz val="9"/>
            <color indexed="81"/>
            <rFont val="Segoe UI"/>
            <family val="2"/>
          </rPr>
          <t>Beck, Simon:</t>
        </r>
        <r>
          <rPr>
            <sz val="9"/>
            <color indexed="81"/>
            <rFont val="Segoe UI"/>
            <family val="2"/>
          </rPr>
          <t xml:space="preserve">
Diffusionswiderstandsfaktor
dimensionlos</t>
        </r>
      </text>
    </comment>
  </commentList>
</comments>
</file>

<file path=xl/sharedStrings.xml><?xml version="1.0" encoding="utf-8"?>
<sst xmlns="http://schemas.openxmlformats.org/spreadsheetml/2006/main" count="490" uniqueCount="278">
  <si>
    <t>W/m²K</t>
  </si>
  <si>
    <t>di</t>
  </si>
  <si>
    <t>m</t>
  </si>
  <si>
    <t>W/mK</t>
  </si>
  <si>
    <t>dm_insul</t>
  </si>
  <si>
    <t>dm_tube</t>
  </si>
  <si>
    <t>d insul_out</t>
  </si>
  <si>
    <t>Ri=1/alpha_i</t>
  </si>
  <si>
    <t>R_Insul</t>
  </si>
  <si>
    <t>R_tube</t>
  </si>
  <si>
    <t>W/mk</t>
  </si>
  <si>
    <t xml:space="preserve">sum R </t>
  </si>
  <si>
    <t>Ra=1/alpha_o</t>
  </si>
  <si>
    <t>m²K/W</t>
  </si>
  <si>
    <t>Input</t>
  </si>
  <si>
    <t>Output</t>
  </si>
  <si>
    <t>U_i (from R)</t>
  </si>
  <si>
    <t>U_i (from long fomula)</t>
  </si>
  <si>
    <t>°C</t>
  </si>
  <si>
    <t>m_dot_cold</t>
  </si>
  <si>
    <t>m_dot_hot</t>
  </si>
  <si>
    <t>kg/s</t>
  </si>
  <si>
    <t>J/kgK</t>
  </si>
  <si>
    <t>C_hot</t>
  </si>
  <si>
    <t xml:space="preserve">C_cold </t>
  </si>
  <si>
    <t>NTU</t>
  </si>
  <si>
    <t>U</t>
  </si>
  <si>
    <t>A</t>
  </si>
  <si>
    <t xml:space="preserve">m² </t>
  </si>
  <si>
    <t>cp_hot</t>
  </si>
  <si>
    <t>cp_cold</t>
  </si>
  <si>
    <t>NTU_hot</t>
  </si>
  <si>
    <t>NTU_cold</t>
  </si>
  <si>
    <t>C_R</t>
  </si>
  <si>
    <t>C_min</t>
  </si>
  <si>
    <t>T_cold_out</t>
  </si>
  <si>
    <t>J/sK</t>
  </si>
  <si>
    <t>-</t>
  </si>
  <si>
    <t>T_hot_out</t>
  </si>
  <si>
    <t>Parallel Flow</t>
  </si>
  <si>
    <t xml:space="preserve">parallel flow </t>
  </si>
  <si>
    <t>Tlog_counter</t>
  </si>
  <si>
    <t>Tlog_parallel</t>
  </si>
  <si>
    <t>in</t>
  </si>
  <si>
    <t>out</t>
  </si>
  <si>
    <t>thot_par</t>
  </si>
  <si>
    <t>tcold_par</t>
  </si>
  <si>
    <t>thot_counter</t>
  </si>
  <si>
    <t>tcold, counter</t>
  </si>
  <si>
    <t>Heat exchanger INPUT</t>
  </si>
  <si>
    <t xml:space="preserve">Calculation </t>
  </si>
  <si>
    <t xml:space="preserve">Results </t>
  </si>
  <si>
    <t>kg</t>
  </si>
  <si>
    <t>Minuten</t>
  </si>
  <si>
    <t>s</t>
  </si>
  <si>
    <t>counter flow</t>
  </si>
  <si>
    <t>qdot</t>
  </si>
  <si>
    <t>parallel</t>
  </si>
  <si>
    <t>counter</t>
  </si>
  <si>
    <t xml:space="preserve">Counter Flow </t>
  </si>
  <si>
    <t xml:space="preserve"> </t>
  </si>
  <si>
    <t>Effectiv_cold_parallel</t>
  </si>
  <si>
    <t>Effectiv_cold_counter</t>
  </si>
  <si>
    <t>Effectiv_hot_counter</t>
  </si>
  <si>
    <t>Effectiv_hot_parallel</t>
  </si>
  <si>
    <t>Hard Coal</t>
  </si>
  <si>
    <t>Oil EL</t>
  </si>
  <si>
    <t>Wood</t>
  </si>
  <si>
    <t>c</t>
  </si>
  <si>
    <t>Mass%</t>
  </si>
  <si>
    <t>h</t>
  </si>
  <si>
    <t>w</t>
  </si>
  <si>
    <t>Ash</t>
  </si>
  <si>
    <t>Lambda</t>
  </si>
  <si>
    <t>O2min</t>
  </si>
  <si>
    <t>kgO2/kgfuel</t>
  </si>
  <si>
    <t>Lmin</t>
  </si>
  <si>
    <t>kgair/kg fuel</t>
  </si>
  <si>
    <t>m³air/kgfuel</t>
  </si>
  <si>
    <t>N2min</t>
  </si>
  <si>
    <t>kgN2/kgfuel</t>
  </si>
  <si>
    <t>Rw,min</t>
  </si>
  <si>
    <t>Rdry,min</t>
  </si>
  <si>
    <t xml:space="preserve">Flue gas components </t>
  </si>
  <si>
    <t xml:space="preserve">Wet flue gas </t>
  </si>
  <si>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CO2</t>
    </r>
  </si>
  <si>
    <t>kg/kgfuel</t>
  </si>
  <si>
    <t>μSO2</t>
  </si>
  <si>
    <t>μAr</t>
  </si>
  <si>
    <t>μH20</t>
  </si>
  <si>
    <t>μO2</t>
  </si>
  <si>
    <t>μN2</t>
  </si>
  <si>
    <t xml:space="preserve">total </t>
  </si>
  <si>
    <t xml:space="preserve">kg/kgfuel </t>
  </si>
  <si>
    <t>λ*lmin+(1-a)</t>
  </si>
  <si>
    <t>wCO2</t>
  </si>
  <si>
    <t>kg/kgfg</t>
  </si>
  <si>
    <t>wSO2</t>
  </si>
  <si>
    <t>wAr</t>
  </si>
  <si>
    <t>wH20</t>
  </si>
  <si>
    <t>wO2</t>
  </si>
  <si>
    <t>wN2</t>
  </si>
  <si>
    <t>VCO2</t>
  </si>
  <si>
    <t xml:space="preserve">m³/kgfuel </t>
  </si>
  <si>
    <t>VSO2</t>
  </si>
  <si>
    <t>VAr</t>
  </si>
  <si>
    <t>VH20</t>
  </si>
  <si>
    <t>VO2</t>
  </si>
  <si>
    <t>VN2</t>
  </si>
  <si>
    <t>LHV</t>
  </si>
  <si>
    <t>kJ/kg</t>
  </si>
  <si>
    <t>HHV</t>
  </si>
  <si>
    <t xml:space="preserve">Combustion Calculation </t>
  </si>
  <si>
    <t>total</t>
  </si>
  <si>
    <t>Dry flue gas</t>
  </si>
  <si>
    <t>total without Ar</t>
  </si>
  <si>
    <t xml:space="preserve">O2 in Air </t>
  </si>
  <si>
    <t xml:space="preserve">N2 in air </t>
  </si>
  <si>
    <t>o (O2) 2*16</t>
  </si>
  <si>
    <t>n (N2) 2*14</t>
  </si>
  <si>
    <t>kgfg/kgfuel</t>
  </si>
  <si>
    <t>m³fg/kgfuel</t>
  </si>
  <si>
    <t>only for solid and liquid fuels</t>
  </si>
  <si>
    <t>T_hot _inlet</t>
  </si>
  <si>
    <t>T_cold_inlet</t>
  </si>
  <si>
    <t>Alternativ  T_hin; T_hout gegeben</t>
  </si>
  <si>
    <t>T_hot_outlet</t>
  </si>
  <si>
    <t>T_cin aus T_hin;T_hout</t>
  </si>
  <si>
    <t>Effectiv_C_min</t>
  </si>
  <si>
    <t>Tflame</t>
  </si>
  <si>
    <t>cp_Flue Gas</t>
  </si>
  <si>
    <t>kJ/kgK</t>
  </si>
  <si>
    <t>L</t>
  </si>
  <si>
    <t>kW</t>
  </si>
  <si>
    <t xml:space="preserve">Temperature </t>
  </si>
  <si>
    <t>Layer 1</t>
  </si>
  <si>
    <t>Layer 2</t>
  </si>
  <si>
    <t>Layer 3</t>
  </si>
  <si>
    <t>Layer 4</t>
  </si>
  <si>
    <t>W/m²</t>
  </si>
  <si>
    <t>Total Heat Transfer  Qtot</t>
  </si>
  <si>
    <t>L1/2</t>
  </si>
  <si>
    <t>L2/3</t>
  </si>
  <si>
    <t>L3/4</t>
  </si>
  <si>
    <t>U_i (von R)   1/sum R</t>
  </si>
  <si>
    <t>sd</t>
  </si>
  <si>
    <t>%</t>
  </si>
  <si>
    <t>m²hPa/kg</t>
  </si>
  <si>
    <t>Pa</t>
  </si>
  <si>
    <t>kg/m²h</t>
  </si>
  <si>
    <t>o</t>
  </si>
  <si>
    <t>L1/L2</t>
  </si>
  <si>
    <t>o/L1</t>
  </si>
  <si>
    <t>Outside</t>
  </si>
  <si>
    <t>Inside</t>
  </si>
  <si>
    <t>Temperatures</t>
  </si>
  <si>
    <t>Water Vapor Diffussion</t>
  </si>
  <si>
    <t>Vapor pressure</t>
  </si>
  <si>
    <t>Position in wall</t>
  </si>
  <si>
    <t>Insulated Tube</t>
  </si>
  <si>
    <t>Convection and Radiation Outside</t>
  </si>
  <si>
    <t>Plaster</t>
  </si>
  <si>
    <t>Concrete</t>
  </si>
  <si>
    <t>Mineralw.</t>
  </si>
  <si>
    <t>Vap.Bar.red.</t>
  </si>
  <si>
    <t>Vap.Bar.tight</t>
  </si>
  <si>
    <t>Brick heavy</t>
  </si>
  <si>
    <t>Brick poros</t>
  </si>
  <si>
    <r>
      <t xml:space="preserve">    T</t>
    </r>
    <r>
      <rPr>
        <vertAlign val="subscript"/>
        <sz val="12"/>
        <color theme="1"/>
        <rFont val="Calibri"/>
        <family val="2"/>
        <scheme val="minor"/>
      </rPr>
      <t>i</t>
    </r>
  </si>
  <si>
    <r>
      <t>α</t>
    </r>
    <r>
      <rPr>
        <vertAlign val="subscript"/>
        <sz val="12"/>
        <color theme="1"/>
        <rFont val="Calibri"/>
        <family val="2"/>
        <scheme val="minor"/>
      </rPr>
      <t>i</t>
    </r>
  </si>
  <si>
    <r>
      <t>R_Layers  1/α, d/</t>
    </r>
    <r>
      <rPr>
        <sz val="9"/>
        <color theme="1"/>
        <rFont val="Calibri"/>
        <family val="2"/>
      </rPr>
      <t>λ</t>
    </r>
  </si>
  <si>
    <r>
      <t>1/</t>
    </r>
    <r>
      <rPr>
        <sz val="8"/>
        <color theme="1"/>
        <rFont val="Calibri"/>
        <family val="2"/>
      </rPr>
      <t>Δ</t>
    </r>
    <r>
      <rPr>
        <sz val="8"/>
        <color theme="1"/>
        <rFont val="Calibri"/>
        <family val="2"/>
        <scheme val="minor"/>
      </rPr>
      <t>; 1/ß</t>
    </r>
  </si>
  <si>
    <t>L3/L4</t>
  </si>
  <si>
    <t>L4/i</t>
  </si>
  <si>
    <t>i</t>
  </si>
  <si>
    <r>
      <t xml:space="preserve">Diff.res.fact </t>
    </r>
    <r>
      <rPr>
        <sz val="12"/>
        <color theme="1"/>
        <rFont val="Calibri"/>
        <family val="2"/>
      </rPr>
      <t>μ</t>
    </r>
  </si>
  <si>
    <r>
      <t>T_out/in     T</t>
    </r>
    <r>
      <rPr>
        <vertAlign val="subscript"/>
        <sz val="12"/>
        <color theme="1"/>
        <rFont val="Calibri"/>
        <family val="2"/>
        <scheme val="minor"/>
      </rPr>
      <t>0</t>
    </r>
  </si>
  <si>
    <r>
      <t xml:space="preserve">alpha           </t>
    </r>
    <r>
      <rPr>
        <sz val="12"/>
        <color theme="1"/>
        <rFont val="Calibri"/>
        <family val="2"/>
      </rPr>
      <t>α</t>
    </r>
    <r>
      <rPr>
        <vertAlign val="subscript"/>
        <sz val="12"/>
        <color theme="1"/>
        <rFont val="Calibri"/>
        <family val="2"/>
      </rPr>
      <t>o</t>
    </r>
  </si>
  <si>
    <t>1/Δ  total</t>
  </si>
  <si>
    <t>g /Diffflow</t>
  </si>
  <si>
    <t>Layer-Linies</t>
  </si>
  <si>
    <r>
      <t xml:space="preserve"> </t>
    </r>
    <r>
      <rPr>
        <sz val="11"/>
        <color theme="1"/>
        <rFont val="Aptos Narrow"/>
        <family val="2"/>
      </rPr>
      <t>λ</t>
    </r>
    <r>
      <rPr>
        <sz val="11"/>
        <color theme="1"/>
        <rFont val="Calibri"/>
        <family val="2"/>
        <scheme val="minor"/>
      </rPr>
      <t xml:space="preserve"> [W/mK]</t>
    </r>
  </si>
  <si>
    <t>Thermal Conductivity</t>
  </si>
  <si>
    <t>Cork</t>
  </si>
  <si>
    <t>Air 5 cm↕</t>
  </si>
  <si>
    <t>BrickPoroth</t>
  </si>
  <si>
    <t>Sd total</t>
  </si>
  <si>
    <t>Wall / Roof /Floor</t>
  </si>
  <si>
    <t>Vap. Bar.med</t>
  </si>
  <si>
    <t>Diffusion resistance</t>
  </si>
  <si>
    <t>XPS</t>
  </si>
  <si>
    <t>Thickness    s</t>
  </si>
  <si>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</si>
  <si>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</si>
  <si>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</si>
  <si>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</si>
  <si>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</si>
  <si>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</si>
  <si>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</si>
  <si>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</si>
  <si>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</si>
  <si>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</si>
  <si>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</si>
  <si>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</si>
  <si>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Hot/Humid Gautam</t>
  </si>
  <si>
    <t>Cold Jumla</t>
  </si>
  <si>
    <t>rel. hum.</t>
  </si>
  <si>
    <t xml:space="preserve">Outside </t>
  </si>
  <si>
    <t>Temp</t>
  </si>
  <si>
    <t>Qtot</t>
  </si>
  <si>
    <t>Psaturated</t>
  </si>
  <si>
    <t>Preal</t>
  </si>
  <si>
    <t>g/Diffflow</t>
  </si>
  <si>
    <t xml:space="preserve">Total </t>
  </si>
  <si>
    <t>Climate</t>
  </si>
  <si>
    <t xml:space="preserve">Month </t>
  </si>
  <si>
    <t>Material (Pull down)</t>
  </si>
  <si>
    <t>Temperatuere [°C]</t>
  </si>
  <si>
    <t>Rel Humidity [%]</t>
  </si>
  <si>
    <t>p_Real</t>
  </si>
  <si>
    <t>p_Saturation</t>
  </si>
  <si>
    <t xml:space="preserve">Position </t>
  </si>
  <si>
    <t>Position</t>
  </si>
  <si>
    <t>Material</t>
  </si>
  <si>
    <t>Name</t>
  </si>
  <si>
    <t>Day/month</t>
  </si>
  <si>
    <t>Moisture Content</t>
  </si>
  <si>
    <t xml:space="preserve">Moisture in-out </t>
  </si>
  <si>
    <t>kg/m²,month</t>
  </si>
  <si>
    <t xml:space="preserve">Climate Monthly Average </t>
  </si>
  <si>
    <t>Hot/Cold</t>
  </si>
  <si>
    <r>
      <t xml:space="preserve">Therm. conduct. </t>
    </r>
    <r>
      <rPr>
        <sz val="12"/>
        <color theme="1"/>
        <rFont val="Calibri"/>
        <family val="2"/>
      </rPr>
      <t>k</t>
    </r>
  </si>
  <si>
    <t>kg/m²</t>
  </si>
  <si>
    <t>L2/L3</t>
  </si>
  <si>
    <t>Temperature</t>
  </si>
  <si>
    <t>Spalte2</t>
  </si>
  <si>
    <t>Jan3</t>
  </si>
  <si>
    <t>Feb4</t>
  </si>
  <si>
    <t>Mar5</t>
  </si>
  <si>
    <t>Apr6</t>
  </si>
  <si>
    <t>May7</t>
  </si>
  <si>
    <t>Jun8</t>
  </si>
  <si>
    <t>July9</t>
  </si>
  <si>
    <t>Aug10</t>
  </si>
  <si>
    <t>Sept11</t>
  </si>
  <si>
    <t>Oct12</t>
  </si>
  <si>
    <t>Nov13</t>
  </si>
  <si>
    <t>Dec14</t>
  </si>
  <si>
    <t>μ [-]</t>
  </si>
  <si>
    <t>Location</t>
  </si>
  <si>
    <t>Mild Kathmandu</t>
  </si>
  <si>
    <t>Innsbruck / Austria</t>
  </si>
  <si>
    <t>Methane</t>
  </si>
  <si>
    <t xml:space="preserve">Inputs: Only  </t>
  </si>
  <si>
    <t xml:space="preserve">yellow fields </t>
  </si>
  <si>
    <t>Wolfgang Streicher</t>
  </si>
  <si>
    <t>wolfgang.streicher@uibk.ac.at</t>
  </si>
  <si>
    <t>Exception: Worksheet "Materials and Climate". Here more materials and climates can be attached but stick to the same format.</t>
  </si>
  <si>
    <t>FREEWARE: but please cite when it is used</t>
  </si>
  <si>
    <t xml:space="preserve">It is NOT allowed to sell this software commercially </t>
  </si>
  <si>
    <t>can be changed, the rest is closed</t>
  </si>
  <si>
    <t>There is no support team behind the tools, please ask only in very urgent situations</t>
  </si>
  <si>
    <t xml:space="preserve">There is NO liabilty for the use, calculation and the results </t>
  </si>
  <si>
    <t>DN (outer diameter tube)</t>
  </si>
  <si>
    <t>s_tube (wall thickness tube)</t>
  </si>
  <si>
    <t>lam_tube (heat conductivity tube, k-value)</t>
  </si>
  <si>
    <t>s_inslulation (thickness insulation)</t>
  </si>
  <si>
    <t>lam_insulation (heat conductivity insul)</t>
  </si>
  <si>
    <t>Fuels - mass distribution</t>
  </si>
  <si>
    <t>(c) University of Innsbruck, Unit of Energy Efficient Building</t>
  </si>
  <si>
    <t>Alpha_o (heat transfer coefficient ambient)</t>
  </si>
  <si>
    <t>Alpha_i (heat transfer coefficient tube fluid)</t>
  </si>
  <si>
    <r>
      <t xml:space="preserve">rel. hum.    </t>
    </r>
    <r>
      <rPr>
        <sz val="12"/>
        <color theme="1"/>
        <rFont val="Symbol"/>
        <family val="1"/>
        <charset val="2"/>
      </rPr>
      <t>j</t>
    </r>
    <r>
      <rPr>
        <vertAlign val="subscript"/>
        <sz val="12"/>
        <color theme="1"/>
        <rFont val="Calibri"/>
        <family val="2"/>
        <scheme val="minor"/>
      </rPr>
      <t>o</t>
    </r>
  </si>
  <si>
    <r>
      <rPr>
        <sz val="12"/>
        <color theme="1"/>
        <rFont val="Symbol"/>
        <family val="1"/>
        <charset val="2"/>
      </rPr>
      <t>j</t>
    </r>
    <r>
      <rPr>
        <vertAlign val="subscript"/>
        <sz val="12"/>
        <color theme="1"/>
        <rFont val="Calibri"/>
        <family val="2"/>
        <scheme val="minor"/>
      </rPr>
      <t>i</t>
    </r>
  </si>
  <si>
    <t>Technikerstrasse 13, A-6020 Innsbruck, Austria</t>
  </si>
  <si>
    <t>Every new Material or new climate must be a new row.</t>
  </si>
  <si>
    <t>If you use plots make sure that the citation of the University of Innsbruck is readable or attached to the graph</t>
  </si>
  <si>
    <t>Do not forget to harmonize inout data (e.g. when calculating Glaser for hot/cold situation increase indoor air temperature and humidity for hot, decrease both in cold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</si>
</sst>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%"/>
    <numFmt numFmtId="166" formatCode="0.000"/>
    <numFmt numFmtId="167" formatCode="0.0"/>
    <numFmt numFmtId="168" formatCode="0.00000"/>
    <numFmt numFmtId="169" formatCode="0.000000"/>
    <numFmt numFmtId="170" formatCode="0.0E+00"/>
    <numFmt numFmtId="171" formatCode="0.00000E+00"/>
  </numFmts>
  <fonts count="3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1"/>
      <charset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9">
    <xf numFmtId="0" fontId="0" fillId="0" borderId="0" xfId="0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0" fillId="3" borderId="0" xfId="0" quotePrefix="1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1" fontId="0" fillId="5" borderId="0" xfId="0" applyNumberFormat="1" applyFill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11" fontId="2" fillId="3" borderId="0" xfId="0" applyNumberFormat="1" applyFont="1" applyFill="1"/>
    <xf numFmtId="0" fontId="3" fillId="3" borderId="0" xfId="0" applyFont="1" applyFill="1"/>
    <xf numFmtId="0" fontId="0" fillId="6" borderId="0" xfId="0" applyFill="1"/>
    <xf numFmtId="166" fontId="0" fillId="6" borderId="0" xfId="0" applyNumberFormat="1" applyFill="1"/>
    <xf numFmtId="166" fontId="0" fillId="0" borderId="0" xfId="0" applyNumberFormat="1"/>
    <xf numFmtId="0" fontId="5" fillId="3" borderId="0" xfId="0" applyFont="1" applyFill="1"/>
    <xf numFmtId="166" fontId="0" fillId="3" borderId="0" xfId="0" applyNumberFormat="1" applyFill="1"/>
    <xf numFmtId="0" fontId="6" fillId="3" borderId="0" xfId="0" applyFont="1" applyFill="1"/>
    <xf numFmtId="2" fontId="0" fillId="0" borderId="0" xfId="0" applyNumberFormat="1"/>
    <xf numFmtId="1" fontId="0" fillId="6" borderId="0" xfId="0" applyNumberFormat="1" applyFill="1"/>
    <xf numFmtId="166" fontId="5" fillId="3" borderId="0" xfId="0" applyNumberFormat="1" applyFont="1" applyFill="1"/>
    <xf numFmtId="0" fontId="5" fillId="6" borderId="0" xfId="0" applyFont="1" applyFill="1"/>
    <xf numFmtId="166" fontId="5" fillId="6" borderId="0" xfId="0" applyNumberFormat="1" applyFont="1" applyFill="1"/>
    <xf numFmtId="164" fontId="0" fillId="3" borderId="0" xfId="0" applyNumberFormat="1" applyFill="1"/>
    <xf numFmtId="167" fontId="0" fillId="0" borderId="0" xfId="0" applyNumberFormat="1"/>
    <xf numFmtId="1" fontId="0" fillId="0" borderId="0" xfId="0" applyNumberFormat="1"/>
    <xf numFmtId="168" fontId="0" fillId="3" borderId="0" xfId="0" applyNumberFormat="1" applyFill="1"/>
    <xf numFmtId="0" fontId="8" fillId="0" borderId="0" xfId="0" applyFont="1"/>
    <xf numFmtId="0" fontId="1" fillId="3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9" fillId="8" borderId="0" xfId="0" applyFont="1" applyFill="1"/>
    <xf numFmtId="0" fontId="10" fillId="0" borderId="0" xfId="0" applyFont="1"/>
    <xf numFmtId="0" fontId="0" fillId="9" borderId="0" xfId="0" applyFill="1"/>
    <xf numFmtId="0" fontId="0" fillId="9" borderId="7" xfId="0" applyFill="1" applyBorder="1" applyAlignment="1">
      <alignment horizontal="center"/>
    </xf>
    <xf numFmtId="0" fontId="0" fillId="9" borderId="0" xfId="0" applyFill="1" applyAlignment="1">
      <alignment horizontal="center"/>
    </xf>
    <xf numFmtId="166" fontId="0" fillId="0" borderId="7" xfId="0" applyNumberFormat="1" applyBorder="1" applyAlignment="1">
      <alignment horizontal="center"/>
    </xf>
    <xf numFmtId="0" fontId="15" fillId="8" borderId="4" xfId="0" applyFont="1" applyFill="1" applyBorder="1"/>
    <xf numFmtId="0" fontId="14" fillId="8" borderId="6" xfId="0" applyFont="1" applyFill="1" applyBorder="1"/>
    <xf numFmtId="0" fontId="14" fillId="8" borderId="7" xfId="0" applyFont="1" applyFill="1" applyBorder="1"/>
    <xf numFmtId="0" fontId="14" fillId="8" borderId="0" xfId="0" applyFont="1" applyFill="1"/>
    <xf numFmtId="0" fontId="14" fillId="8" borderId="8" xfId="0" applyFont="1" applyFill="1" applyBorder="1"/>
    <xf numFmtId="0" fontId="14" fillId="8" borderId="0" xfId="0" applyFont="1" applyFill="1" applyAlignment="1">
      <alignment horizontal="center"/>
    </xf>
    <xf numFmtId="0" fontId="14" fillId="8" borderId="8" xfId="0" quotePrefix="1" applyFont="1" applyFill="1" applyBorder="1"/>
    <xf numFmtId="0" fontId="14" fillId="8" borderId="0" xfId="0" applyFont="1" applyFill="1" applyAlignment="1">
      <alignment horizontal="right"/>
    </xf>
    <xf numFmtId="0" fontId="3" fillId="3" borderId="1" xfId="0" applyFont="1" applyFill="1" applyBorder="1"/>
    <xf numFmtId="0" fontId="3" fillId="3" borderId="7" xfId="0" applyFont="1" applyFill="1" applyBorder="1"/>
    <xf numFmtId="2" fontId="19" fillId="3" borderId="0" xfId="0" applyNumberFormat="1" applyFont="1" applyFill="1"/>
    <xf numFmtId="166" fontId="19" fillId="3" borderId="0" xfId="0" applyNumberFormat="1" applyFont="1" applyFill="1"/>
    <xf numFmtId="0" fontId="3" fillId="3" borderId="8" xfId="0" applyFont="1" applyFill="1" applyBorder="1"/>
    <xf numFmtId="0" fontId="19" fillId="3" borderId="7" xfId="0" applyFont="1" applyFill="1" applyBorder="1"/>
    <xf numFmtId="0" fontId="19" fillId="3" borderId="8" xfId="0" applyFont="1" applyFill="1" applyBorder="1"/>
    <xf numFmtId="0" fontId="19" fillId="3" borderId="0" xfId="0" applyFont="1" applyFill="1"/>
    <xf numFmtId="2" fontId="3" fillId="3" borderId="0" xfId="0" applyNumberFormat="1" applyFont="1" applyFill="1"/>
    <xf numFmtId="0" fontId="0" fillId="0" borderId="0" xfId="0" applyAlignment="1">
      <alignment wrapText="1"/>
    </xf>
    <xf numFmtId="0" fontId="23" fillId="7" borderId="1" xfId="0" applyFont="1" applyFill="1" applyBorder="1"/>
    <xf numFmtId="0" fontId="21" fillId="7" borderId="2" xfId="0" applyFont="1" applyFill="1" applyBorder="1"/>
    <xf numFmtId="0" fontId="21" fillId="7" borderId="3" xfId="0" applyFont="1" applyFill="1" applyBorder="1"/>
    <xf numFmtId="0" fontId="21" fillId="7" borderId="7" xfId="0" applyFont="1" applyFill="1" applyBorder="1"/>
    <xf numFmtId="2" fontId="21" fillId="7" borderId="0" xfId="0" applyNumberFormat="1" applyFont="1" applyFill="1"/>
    <xf numFmtId="2" fontId="21" fillId="7" borderId="8" xfId="0" applyNumberFormat="1" applyFont="1" applyFill="1" applyBorder="1"/>
    <xf numFmtId="170" fontId="21" fillId="7" borderId="0" xfId="0" applyNumberFormat="1" applyFont="1" applyFill="1"/>
    <xf numFmtId="0" fontId="22" fillId="7" borderId="7" xfId="0" applyFont="1" applyFill="1" applyBorder="1"/>
    <xf numFmtId="2" fontId="22" fillId="7" borderId="0" xfId="0" applyNumberFormat="1" applyFont="1" applyFill="1"/>
    <xf numFmtId="11" fontId="22" fillId="7" borderId="0" xfId="0" applyNumberFormat="1" applyFont="1" applyFill="1"/>
    <xf numFmtId="2" fontId="22" fillId="7" borderId="8" xfId="0" applyNumberFormat="1" applyFont="1" applyFill="1" applyBorder="1"/>
    <xf numFmtId="11" fontId="21" fillId="7" borderId="0" xfId="0" applyNumberFormat="1" applyFont="1" applyFill="1"/>
    <xf numFmtId="0" fontId="21" fillId="7" borderId="4" xfId="0" applyFont="1" applyFill="1" applyBorder="1"/>
    <xf numFmtId="170" fontId="21" fillId="7" borderId="8" xfId="0" applyNumberFormat="1" applyFont="1" applyFill="1" applyBorder="1"/>
    <xf numFmtId="0" fontId="21" fillId="0" borderId="0" xfId="0" applyFont="1"/>
    <xf numFmtId="0" fontId="23" fillId="6" borderId="12" xfId="0" applyFont="1" applyFill="1" applyBorder="1"/>
    <xf numFmtId="0" fontId="25" fillId="6" borderId="13" xfId="0" applyFont="1" applyFill="1" applyBorder="1"/>
    <xf numFmtId="2" fontId="21" fillId="6" borderId="7" xfId="0" applyNumberFormat="1" applyFont="1" applyFill="1" applyBorder="1"/>
    <xf numFmtId="2" fontId="21" fillId="6" borderId="8" xfId="0" applyNumberFormat="1" applyFont="1" applyFill="1" applyBorder="1"/>
    <xf numFmtId="1" fontId="21" fillId="6" borderId="7" xfId="0" applyNumberFormat="1" applyFont="1" applyFill="1" applyBorder="1"/>
    <xf numFmtId="1" fontId="21" fillId="6" borderId="0" xfId="0" applyNumberFormat="1" applyFont="1" applyFill="1"/>
    <xf numFmtId="1" fontId="21" fillId="6" borderId="8" xfId="0" applyNumberFormat="1" applyFont="1" applyFill="1" applyBorder="1"/>
    <xf numFmtId="0" fontId="21" fillId="6" borderId="13" xfId="0" applyFont="1" applyFill="1" applyBorder="1"/>
    <xf numFmtId="0" fontId="21" fillId="6" borderId="7" xfId="0" applyFont="1" applyFill="1" applyBorder="1"/>
    <xf numFmtId="0" fontId="21" fillId="6" borderId="8" xfId="0" applyFont="1" applyFill="1" applyBorder="1"/>
    <xf numFmtId="0" fontId="21" fillId="6" borderId="0" xfId="0" applyFont="1" applyFill="1"/>
    <xf numFmtId="0" fontId="21" fillId="6" borderId="14" xfId="0" applyFont="1" applyFill="1" applyBorder="1"/>
    <xf numFmtId="2" fontId="21" fillId="6" borderId="4" xfId="0" applyNumberFormat="1" applyFont="1" applyFill="1" applyBorder="1"/>
    <xf numFmtId="0" fontId="21" fillId="6" borderId="6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0" fontId="5" fillId="0" borderId="0" xfId="0" applyFont="1" applyAlignment="1">
      <alignment horizontal="center" wrapText="1"/>
    </xf>
    <xf numFmtId="0" fontId="3" fillId="8" borderId="10" xfId="0" applyFont="1" applyFill="1" applyBorder="1" applyAlignment="1">
      <alignment horizontal="center"/>
    </xf>
    <xf numFmtId="171" fontId="0" fillId="0" borderId="0" xfId="0" applyNumberFormat="1"/>
    <xf numFmtId="0" fontId="23" fillId="6" borderId="1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0" fontId="19" fillId="0" borderId="0" xfId="0" applyNumberFormat="1" applyFont="1"/>
    <xf numFmtId="2" fontId="3" fillId="3" borderId="0" xfId="0" applyNumberFormat="1" applyFont="1" applyFill="1" applyAlignment="1">
      <alignment horizontal="center"/>
    </xf>
    <xf numFmtId="0" fontId="3" fillId="3" borderId="2" xfId="0" applyFont="1" applyFill="1" applyBorder="1"/>
    <xf numFmtId="0" fontId="5" fillId="9" borderId="15" xfId="0" applyFont="1" applyFill="1" applyBorder="1"/>
    <xf numFmtId="0" fontId="5" fillId="10" borderId="17" xfId="0" applyFont="1" applyFill="1" applyBorder="1"/>
    <xf numFmtId="0" fontId="5" fillId="0" borderId="8" xfId="0" applyFont="1" applyBorder="1"/>
    <xf numFmtId="0" fontId="5" fillId="10" borderId="8" xfId="0" applyFont="1" applyFill="1" applyBorder="1"/>
    <xf numFmtId="167" fontId="0" fillId="10" borderId="7" xfId="0" applyNumberFormat="1" applyFill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0" fontId="0" fillId="1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5" fillId="9" borderId="9" xfId="0" applyFont="1" applyFill="1" applyBorder="1"/>
    <xf numFmtId="0" fontId="14" fillId="8" borderId="1" xfId="0" applyFont="1" applyFill="1" applyBorder="1"/>
    <xf numFmtId="0" fontId="14" fillId="8" borderId="2" xfId="0" applyFont="1" applyFill="1" applyBorder="1"/>
    <xf numFmtId="2" fontId="14" fillId="3" borderId="0" xfId="0" applyNumberFormat="1" applyFont="1" applyFill="1" applyAlignment="1">
      <alignment horizontal="center"/>
    </xf>
    <xf numFmtId="2" fontId="5" fillId="3" borderId="0" xfId="0" applyNumberFormat="1" applyFont="1" applyFill="1"/>
    <xf numFmtId="2" fontId="3" fillId="3" borderId="2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" fontId="19" fillId="0" borderId="0" xfId="0" applyNumberFormat="1" applyFont="1"/>
    <xf numFmtId="170" fontId="0" fillId="0" borderId="0" xfId="0" applyNumberFormat="1"/>
    <xf numFmtId="0" fontId="0" fillId="11" borderId="0" xfId="0" applyFill="1"/>
    <xf numFmtId="11" fontId="21" fillId="7" borderId="8" xfId="0" applyNumberFormat="1" applyFont="1" applyFill="1" applyBorder="1"/>
    <xf numFmtId="0" fontId="19" fillId="0" borderId="0" xfId="0" applyFont="1"/>
    <xf numFmtId="0" fontId="0" fillId="12" borderId="8" xfId="0" applyFill="1" applyBorder="1"/>
    <xf numFmtId="0" fontId="0" fillId="12" borderId="7" xfId="0" applyFill="1" applyBorder="1" applyAlignment="1">
      <alignment horizontal="right"/>
    </xf>
    <xf numFmtId="0" fontId="0" fillId="12" borderId="0" xfId="0" applyFill="1"/>
    <xf numFmtId="0" fontId="0" fillId="12" borderId="4" xfId="0" applyFill="1" applyBorder="1" applyAlignment="1">
      <alignment horizontal="right"/>
    </xf>
    <xf numFmtId="0" fontId="0" fillId="12" borderId="5" xfId="0" applyFill="1" applyBorder="1"/>
    <xf numFmtId="0" fontId="0" fillId="12" borderId="6" xfId="0" applyFill="1" applyBorder="1"/>
    <xf numFmtId="0" fontId="0" fillId="12" borderId="1" xfId="0" applyFill="1" applyBorder="1"/>
    <xf numFmtId="0" fontId="0" fillId="12" borderId="4" xfId="0" applyFill="1" applyBorder="1"/>
    <xf numFmtId="0" fontId="0" fillId="12" borderId="9" xfId="0" applyFill="1" applyBorder="1"/>
    <xf numFmtId="0" fontId="0" fillId="12" borderId="7" xfId="0" applyFill="1" applyBorder="1"/>
    <xf numFmtId="0" fontId="0" fillId="12" borderId="1" xfId="0" applyFill="1" applyBorder="1" applyAlignment="1">
      <alignment horizontal="right"/>
    </xf>
    <xf numFmtId="0" fontId="0" fillId="12" borderId="2" xfId="0" applyFill="1" applyBorder="1" applyAlignment="1">
      <alignment horizontal="right"/>
    </xf>
    <xf numFmtId="0" fontId="0" fillId="12" borderId="3" xfId="0" applyFill="1" applyBorder="1" applyAlignment="1">
      <alignment horizontal="right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5" fillId="12" borderId="1" xfId="0" applyFont="1" applyFill="1" applyBorder="1" applyAlignment="1">
      <alignment horizontal="right"/>
    </xf>
    <xf numFmtId="0" fontId="5" fillId="12" borderId="2" xfId="0" applyFont="1" applyFill="1" applyBorder="1" applyAlignment="1">
      <alignment horizontal="right"/>
    </xf>
    <xf numFmtId="0" fontId="5" fillId="12" borderId="3" xfId="0" applyFont="1" applyFill="1" applyBorder="1" applyAlignment="1">
      <alignment horizontal="right"/>
    </xf>
    <xf numFmtId="0" fontId="0" fillId="12" borderId="7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12" xfId="0" applyFill="1" applyBorder="1"/>
    <xf numFmtId="0" fontId="0" fillId="11" borderId="7" xfId="0" applyFill="1" applyBorder="1" applyAlignment="1">
      <alignment horizontal="right"/>
    </xf>
    <xf numFmtId="0" fontId="0" fillId="11" borderId="7" xfId="0" applyFill="1" applyBorder="1"/>
    <xf numFmtId="0" fontId="0" fillId="11" borderId="8" xfId="0" applyFill="1" applyBorder="1"/>
    <xf numFmtId="0" fontId="0" fillId="11" borderId="1" xfId="0" applyFill="1" applyBorder="1" applyAlignment="1">
      <alignment horizontal="right"/>
    </xf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2" fontId="0" fillId="11" borderId="1" xfId="0" applyNumberFormat="1" applyFill="1" applyBorder="1"/>
    <xf numFmtId="2" fontId="0" fillId="11" borderId="2" xfId="0" applyNumberFormat="1" applyFill="1" applyBorder="1"/>
    <xf numFmtId="2" fontId="0" fillId="11" borderId="3" xfId="0" applyNumberFormat="1" applyFill="1" applyBorder="1"/>
    <xf numFmtId="2" fontId="0" fillId="12" borderId="7" xfId="0" applyNumberFormat="1" applyFill="1" applyBorder="1"/>
    <xf numFmtId="2" fontId="0" fillId="12" borderId="0" xfId="0" applyNumberFormat="1" applyFill="1"/>
    <xf numFmtId="2" fontId="0" fillId="12" borderId="8" xfId="0" applyNumberFormat="1" applyFill="1" applyBorder="1"/>
    <xf numFmtId="2" fontId="0" fillId="11" borderId="7" xfId="0" applyNumberFormat="1" applyFill="1" applyBorder="1"/>
    <xf numFmtId="2" fontId="0" fillId="11" borderId="0" xfId="0" applyNumberFormat="1" applyFill="1"/>
    <xf numFmtId="2" fontId="0" fillId="11" borderId="8" xfId="0" applyNumberFormat="1" applyFill="1" applyBorder="1"/>
    <xf numFmtId="2" fontId="0" fillId="12" borderId="4" xfId="0" applyNumberFormat="1" applyFill="1" applyBorder="1"/>
    <xf numFmtId="2" fontId="0" fillId="12" borderId="5" xfId="0" applyNumberFormat="1" applyFill="1" applyBorder="1"/>
    <xf numFmtId="2" fontId="0" fillId="12" borderId="6" xfId="0" applyNumberFormat="1" applyFill="1" applyBorder="1"/>
    <xf numFmtId="0" fontId="0" fillId="12" borderId="13" xfId="0" applyFill="1" applyBorder="1" applyAlignment="1">
      <alignment horizontal="center"/>
    </xf>
    <xf numFmtId="2" fontId="0" fillId="11" borderId="0" xfId="0" applyNumberFormat="1" applyFill="1" applyAlignment="1">
      <alignment horizontal="right"/>
    </xf>
    <xf numFmtId="2" fontId="0" fillId="12" borderId="0" xfId="0" applyNumberFormat="1" applyFill="1" applyAlignment="1">
      <alignment horizontal="right"/>
    </xf>
    <xf numFmtId="2" fontId="0" fillId="11" borderId="2" xfId="0" applyNumberFormat="1" applyFill="1" applyBorder="1" applyAlignment="1">
      <alignment horizontal="right"/>
    </xf>
    <xf numFmtId="2" fontId="0" fillId="12" borderId="5" xfId="0" applyNumberFormat="1" applyFill="1" applyBorder="1" applyAlignment="1">
      <alignment horizontal="right"/>
    </xf>
    <xf numFmtId="0" fontId="14" fillId="0" borderId="0" xfId="0" applyFont="1"/>
    <xf numFmtId="11" fontId="19" fillId="11" borderId="1" xfId="0" applyNumberFormat="1" applyFont="1" applyFill="1" applyBorder="1"/>
    <xf numFmtId="11" fontId="19" fillId="11" borderId="2" xfId="0" applyNumberFormat="1" applyFont="1" applyFill="1" applyBorder="1"/>
    <xf numFmtId="11" fontId="19" fillId="11" borderId="2" xfId="0" applyNumberFormat="1" applyFont="1" applyFill="1" applyBorder="1" applyAlignment="1">
      <alignment horizontal="right"/>
    </xf>
    <xf numFmtId="11" fontId="19" fillId="11" borderId="3" xfId="0" applyNumberFormat="1" applyFont="1" applyFill="1" applyBorder="1"/>
    <xf numFmtId="11" fontId="19" fillId="12" borderId="7" xfId="0" applyNumberFormat="1" applyFont="1" applyFill="1" applyBorder="1"/>
    <xf numFmtId="11" fontId="19" fillId="12" borderId="0" xfId="0" applyNumberFormat="1" applyFont="1" applyFill="1"/>
    <xf numFmtId="11" fontId="19" fillId="12" borderId="0" xfId="0" applyNumberFormat="1" applyFont="1" applyFill="1" applyAlignment="1">
      <alignment horizontal="right"/>
    </xf>
    <xf numFmtId="11" fontId="19" fillId="12" borderId="8" xfId="0" applyNumberFormat="1" applyFont="1" applyFill="1" applyBorder="1"/>
    <xf numFmtId="11" fontId="19" fillId="11" borderId="7" xfId="0" applyNumberFormat="1" applyFont="1" applyFill="1" applyBorder="1"/>
    <xf numFmtId="11" fontId="19" fillId="11" borderId="0" xfId="0" applyNumberFormat="1" applyFont="1" applyFill="1"/>
    <xf numFmtId="11" fontId="19" fillId="11" borderId="0" xfId="0" applyNumberFormat="1" applyFont="1" applyFill="1" applyAlignment="1">
      <alignment horizontal="right"/>
    </xf>
    <xf numFmtId="11" fontId="19" fillId="11" borderId="8" xfId="0" applyNumberFormat="1" applyFont="1" applyFill="1" applyBorder="1"/>
    <xf numFmtId="11" fontId="19" fillId="12" borderId="4" xfId="0" applyNumberFormat="1" applyFont="1" applyFill="1" applyBorder="1"/>
    <xf numFmtId="11" fontId="19" fillId="12" borderId="5" xfId="0" applyNumberFormat="1" applyFont="1" applyFill="1" applyBorder="1"/>
    <xf numFmtId="11" fontId="19" fillId="12" borderId="5" xfId="0" applyNumberFormat="1" applyFont="1" applyFill="1" applyBorder="1" applyAlignment="1">
      <alignment horizontal="right"/>
    </xf>
    <xf numFmtId="11" fontId="19" fillId="12" borderId="6" xfId="0" applyNumberFormat="1" applyFont="1" applyFill="1" applyBorder="1"/>
    <xf numFmtId="0" fontId="5" fillId="0" borderId="0" xfId="0" applyFont="1"/>
    <xf numFmtId="0" fontId="5" fillId="12" borderId="1" xfId="0" applyFont="1" applyFill="1" applyBorder="1" applyAlignment="1">
      <alignment horizontal="left"/>
    </xf>
    <xf numFmtId="0" fontId="5" fillId="12" borderId="7" xfId="0" applyFont="1" applyFill="1" applyBorder="1" applyAlignment="1">
      <alignment horizontal="right"/>
    </xf>
    <xf numFmtId="0" fontId="5" fillId="12" borderId="0" xfId="0" applyFont="1" applyFill="1" applyAlignment="1">
      <alignment horizontal="right"/>
    </xf>
    <xf numFmtId="0" fontId="5" fillId="12" borderId="8" xfId="0" applyFont="1" applyFill="1" applyBorder="1" applyAlignment="1">
      <alignment horizontal="right"/>
    </xf>
    <xf numFmtId="170" fontId="19" fillId="11" borderId="1" xfId="0" applyNumberFormat="1" applyFont="1" applyFill="1" applyBorder="1"/>
    <xf numFmtId="170" fontId="19" fillId="11" borderId="2" xfId="0" applyNumberFormat="1" applyFont="1" applyFill="1" applyBorder="1"/>
    <xf numFmtId="170" fontId="19" fillId="11" borderId="2" xfId="0" applyNumberFormat="1" applyFont="1" applyFill="1" applyBorder="1" applyAlignment="1">
      <alignment horizontal="right"/>
    </xf>
    <xf numFmtId="170" fontId="19" fillId="11" borderId="3" xfId="0" applyNumberFormat="1" applyFont="1" applyFill="1" applyBorder="1"/>
    <xf numFmtId="170" fontId="19" fillId="12" borderId="7" xfId="0" applyNumberFormat="1" applyFont="1" applyFill="1" applyBorder="1"/>
    <xf numFmtId="170" fontId="19" fillId="12" borderId="0" xfId="0" applyNumberFormat="1" applyFont="1" applyFill="1"/>
    <xf numFmtId="170" fontId="19" fillId="12" borderId="0" xfId="0" applyNumberFormat="1" applyFont="1" applyFill="1" applyAlignment="1">
      <alignment horizontal="right"/>
    </xf>
    <xf numFmtId="170" fontId="19" fillId="12" borderId="8" xfId="0" applyNumberFormat="1" applyFont="1" applyFill="1" applyBorder="1"/>
    <xf numFmtId="170" fontId="19" fillId="11" borderId="7" xfId="0" applyNumberFormat="1" applyFont="1" applyFill="1" applyBorder="1"/>
    <xf numFmtId="170" fontId="19" fillId="11" borderId="0" xfId="0" applyNumberFormat="1" applyFont="1" applyFill="1"/>
    <xf numFmtId="170" fontId="19" fillId="11" borderId="0" xfId="0" applyNumberFormat="1" applyFont="1" applyFill="1" applyAlignment="1">
      <alignment horizontal="right"/>
    </xf>
    <xf numFmtId="170" fontId="19" fillId="11" borderId="8" xfId="0" applyNumberFormat="1" applyFont="1" applyFill="1" applyBorder="1"/>
    <xf numFmtId="170" fontId="19" fillId="12" borderId="4" xfId="0" applyNumberFormat="1" applyFont="1" applyFill="1" applyBorder="1"/>
    <xf numFmtId="170" fontId="19" fillId="12" borderId="5" xfId="0" applyNumberFormat="1" applyFont="1" applyFill="1" applyBorder="1"/>
    <xf numFmtId="170" fontId="19" fillId="12" borderId="5" xfId="0" applyNumberFormat="1" applyFont="1" applyFill="1" applyBorder="1" applyAlignment="1">
      <alignment horizontal="right"/>
    </xf>
    <xf numFmtId="170" fontId="19" fillId="12" borderId="6" xfId="0" applyNumberFormat="1" applyFont="1" applyFill="1" applyBorder="1"/>
    <xf numFmtId="0" fontId="14" fillId="8" borderId="3" xfId="0" applyFont="1" applyFill="1" applyBorder="1"/>
    <xf numFmtId="0" fontId="27" fillId="0" borderId="0" xfId="0" applyFont="1"/>
    <xf numFmtId="0" fontId="21" fillId="0" borderId="7" xfId="0" applyFont="1" applyBorder="1"/>
    <xf numFmtId="11" fontId="21" fillId="0" borderId="0" xfId="0" applyNumberFormat="1" applyFont="1"/>
    <xf numFmtId="2" fontId="21" fillId="7" borderId="5" xfId="0" applyNumberFormat="1" applyFont="1" applyFill="1" applyBorder="1"/>
    <xf numFmtId="2" fontId="21" fillId="7" borderId="6" xfId="0" applyNumberFormat="1" applyFont="1" applyFill="1" applyBorder="1"/>
    <xf numFmtId="2" fontId="14" fillId="3" borderId="8" xfId="0" applyNumberFormat="1" applyFont="1" applyFill="1" applyBorder="1" applyAlignment="1">
      <alignment horizontal="left"/>
    </xf>
    <xf numFmtId="0" fontId="28" fillId="9" borderId="15" xfId="0" applyFont="1" applyFill="1" applyBorder="1"/>
    <xf numFmtId="0" fontId="28" fillId="9" borderId="16" xfId="0" applyFont="1" applyFill="1" applyBorder="1" applyAlignment="1">
      <alignment horizontal="center"/>
    </xf>
    <xf numFmtId="0" fontId="28" fillId="9" borderId="15" xfId="0" applyFont="1" applyFill="1" applyBorder="1" applyAlignment="1">
      <alignment horizontal="center"/>
    </xf>
    <xf numFmtId="0" fontId="28" fillId="9" borderId="9" xfId="0" applyFont="1" applyFill="1" applyBorder="1"/>
    <xf numFmtId="11" fontId="19" fillId="11" borderId="1" xfId="0" applyNumberFormat="1" applyFont="1" applyFill="1" applyBorder="1" applyAlignment="1">
      <alignment horizontal="right"/>
    </xf>
    <xf numFmtId="11" fontId="19" fillId="12" borderId="7" xfId="0" applyNumberFormat="1" applyFont="1" applyFill="1" applyBorder="1" applyAlignment="1">
      <alignment horizontal="right"/>
    </xf>
    <xf numFmtId="11" fontId="19" fillId="11" borderId="7" xfId="0" applyNumberFormat="1" applyFont="1" applyFill="1" applyBorder="1" applyAlignment="1">
      <alignment horizontal="right"/>
    </xf>
    <xf numFmtId="11" fontId="19" fillId="12" borderId="4" xfId="0" applyNumberFormat="1" applyFont="1" applyFill="1" applyBorder="1" applyAlignment="1">
      <alignment horizontal="right"/>
    </xf>
    <xf numFmtId="0" fontId="0" fillId="12" borderId="6" xfId="0" applyFill="1" applyBorder="1" applyAlignment="1">
      <alignment horizontal="center"/>
    </xf>
    <xf numFmtId="2" fontId="0" fillId="13" borderId="0" xfId="0" applyNumberFormat="1" applyFill="1"/>
    <xf numFmtId="0" fontId="5" fillId="12" borderId="12" xfId="0" applyFont="1" applyFill="1" applyBorder="1" applyAlignment="1">
      <alignment horizontal="center"/>
    </xf>
    <xf numFmtId="0" fontId="5" fillId="13" borderId="14" xfId="0" applyFont="1" applyFill="1" applyBorder="1" applyAlignment="1">
      <alignment horizontal="center"/>
    </xf>
    <xf numFmtId="2" fontId="0" fillId="13" borderId="6" xfId="0" applyNumberFormat="1" applyFill="1" applyBorder="1"/>
    <xf numFmtId="0" fontId="29" fillId="0" borderId="0" xfId="0" applyFont="1"/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4" fillId="2" borderId="2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9" fontId="0" fillId="2" borderId="0" xfId="0" applyNumberFormat="1" applyFill="1" applyProtection="1">
      <protection locked="0"/>
    </xf>
    <xf numFmtId="168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9" fontId="0" fillId="2" borderId="0" xfId="1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0" fillId="12" borderId="14" xfId="0" applyFill="1" applyBorder="1"/>
    <xf numFmtId="0" fontId="9" fillId="8" borderId="0" xfId="0" applyFont="1" applyFill="1" applyProtection="1">
      <protection locked="0"/>
    </xf>
    <xf numFmtId="0" fontId="32" fillId="8" borderId="0" xfId="0" applyFont="1" applyFill="1" applyAlignment="1">
      <alignment horizontal="right"/>
    </xf>
    <xf numFmtId="0" fontId="1" fillId="0" borderId="0" xfId="0" applyFont="1"/>
    <xf numFmtId="0" fontId="30" fillId="0" borderId="0" xfId="0" applyFont="1"/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right"/>
    </xf>
    <xf numFmtId="0" fontId="5" fillId="12" borderId="3" xfId="0" applyFont="1" applyFill="1" applyBorder="1" applyAlignment="1">
      <alignment horizontal="right"/>
    </xf>
    <xf numFmtId="0" fontId="5" fillId="12" borderId="9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14" fillId="2" borderId="2" xfId="0" applyFont="1" applyFill="1" applyBorder="1" applyAlignment="1" applyProtection="1">
      <alignment horizontal="center"/>
      <protection locked="0"/>
    </xf>
    <xf numFmtId="0" fontId="0" fillId="12" borderId="9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6600"/>
      <color rgb="FFFF0000"/>
      <color rgb="FF99FF33"/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Course of Temperature</a:t>
            </a:r>
          </a:p>
        </c:rich>
      </c:tx>
      <c:layout>
        <c:manualLayout>
          <c:xMode val="edge"/>
          <c:yMode val="edge"/>
          <c:x val="0.221213425699832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360656874455014"/>
          <c:y val="0.14769417063703136"/>
          <c:w val="0.76202364380526755"/>
          <c:h val="0.61076031760600458"/>
        </c:manualLayout>
      </c:layout>
      <c:scatterChart>
        <c:scatterStyle val="lineMarker"/>
        <c:varyColors val="0"/>
        <c:ser>
          <c:idx val="0"/>
          <c:order val="0"/>
          <c:tx>
            <c:strRef>
              <c:f>U_value_Glaser_wall!$A$25</c:f>
              <c:strCache>
                <c:ptCount val="1"/>
                <c:pt idx="0">
                  <c:v>Temperature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U_value_Glaser_wall!$B$24:$H$24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U_value_Glaser_wall!$B$25:$H$25</c:f>
              <c:numCache>
                <c:formatCode>0.00</c:formatCode>
                <c:ptCount val="7"/>
                <c:pt idx="0">
                  <c:v>0.8</c:v>
                </c:pt>
                <c:pt idx="1">
                  <c:v>1.1340069814440565</c:v>
                </c:pt>
                <c:pt idx="2">
                  <c:v>1.185963623002021</c:v>
                </c:pt>
                <c:pt idx="3">
                  <c:v>2.7446628697409516</c:v>
                </c:pt>
                <c:pt idx="4">
                  <c:v>20.280029395553921</c:v>
                </c:pt>
                <c:pt idx="5">
                  <c:v>20.331986037111886</c:v>
                </c:pt>
                <c:pt idx="6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99-42E4-B434-B77486D596BD}"/>
            </c:ext>
          </c:extLst>
        </c:ser>
        <c:ser>
          <c:idx val="1"/>
          <c:order val="1"/>
          <c:tx>
            <c:strRef>
              <c:f>U_value_Glaser_wall!$A$39</c:f>
              <c:strCache>
                <c:ptCount val="1"/>
                <c:pt idx="0">
                  <c:v>Inside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U_value_Glaser_wall!$B$39:$C$39</c:f>
              <c:numCache>
                <c:formatCode>General</c:formatCode>
                <c:ptCount val="2"/>
                <c:pt idx="0" formatCode="0.00">
                  <c:v>0.37</c:v>
                </c:pt>
                <c:pt idx="1">
                  <c:v>0.37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99-42E4-B434-B77486D596BD}"/>
            </c:ext>
          </c:extLst>
        </c:ser>
        <c:ser>
          <c:idx val="2"/>
          <c:order val="2"/>
          <c:tx>
            <c:strRef>
              <c:f>U_value_Glaser_wall!$A$35</c:f>
              <c:strCache>
                <c:ptCount val="1"/>
                <c:pt idx="0">
                  <c:v>Outside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U_value_Glaser_wall!$B$35:$C$35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99-42E4-B434-B77486D596BD}"/>
            </c:ext>
          </c:extLst>
        </c:ser>
        <c:ser>
          <c:idx val="3"/>
          <c:order val="3"/>
          <c:tx>
            <c:strRef>
              <c:f>U_value_Glaser_wall!$A$36</c:f>
              <c:strCache>
                <c:ptCount val="1"/>
                <c:pt idx="0">
                  <c:v>L1/2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U_value_Glaser_wall!$B$36:$C$36</c:f>
              <c:numCache>
                <c:formatCode>General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99-42E4-B434-B77486D596BD}"/>
            </c:ext>
          </c:extLst>
        </c:ser>
        <c:ser>
          <c:idx val="4"/>
          <c:order val="4"/>
          <c:tx>
            <c:strRef>
              <c:f>U_value_Glaser_wall!$A$37</c:f>
              <c:strCache>
                <c:ptCount val="1"/>
                <c:pt idx="0">
                  <c:v>L2/3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U_value_Glaser_wall!$B$37:$C$37</c:f>
              <c:numCache>
                <c:formatCode>General</c:formatCode>
                <c:ptCount val="2"/>
                <c:pt idx="0">
                  <c:v>0.21000000000000002</c:v>
                </c:pt>
                <c:pt idx="1">
                  <c:v>0.21000000000000002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99-42E4-B434-B77486D596BD}"/>
            </c:ext>
          </c:extLst>
        </c:ser>
        <c:ser>
          <c:idx val="5"/>
          <c:order val="5"/>
          <c:tx>
            <c:strRef>
              <c:f>U_value_Glaser_wall!$A$38</c:f>
              <c:strCache>
                <c:ptCount val="1"/>
                <c:pt idx="0">
                  <c:v>L3/4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U_value_Glaser_wall!$B$38:$C$38</c:f>
              <c:numCache>
                <c:formatCode>General</c:formatCode>
                <c:ptCount val="2"/>
                <c:pt idx="0">
                  <c:v>0.36</c:v>
                </c:pt>
                <c:pt idx="1">
                  <c:v>0.36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99-42E4-B434-B77486D596BD}"/>
            </c:ext>
          </c:extLst>
        </c:ser>
        <c:ser>
          <c:idx val="6"/>
          <c:order val="6"/>
          <c:tx>
            <c:strRef>
              <c:f>U_value_Glaser_wall!$A$38</c:f>
              <c:strCache>
                <c:ptCount val="1"/>
                <c:pt idx="0">
                  <c:v>L3/4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99-42E4-B434-B77486D596BD}"/>
              </c:ext>
            </c:extLst>
          </c:dPt>
          <c:xVal>
            <c:numRef>
              <c:f>U_value_Glaser_wall!$B$38:$C$38</c:f>
              <c:numCache>
                <c:formatCode>General</c:formatCode>
                <c:ptCount val="2"/>
                <c:pt idx="0">
                  <c:v>0.36</c:v>
                </c:pt>
                <c:pt idx="1">
                  <c:v>0.36</c:v>
                </c:pt>
              </c:numCache>
            </c:numRef>
          </c:xVal>
          <c:yVal>
            <c:numRef>
              <c:f>U_value_Glaser_wall!$B$34:$C$34</c:f>
              <c:numCache>
                <c:formatCode>0.00</c:formatCode>
                <c:ptCount val="2"/>
                <c:pt idx="0">
                  <c:v>22</c:v>
                </c:pt>
                <c:pt idx="1">
                  <c:v>-0.19999999999999996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99-42E4-B434-B77486D5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10432"/>
        <c:axId val="700153280"/>
      </c:scatterChart>
      <c:valAx>
        <c:axId val="651610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Position in Wall [m] (outside  0) </a:t>
                </a:r>
              </a:p>
            </c:rich>
          </c:tx>
          <c:layout>
            <c:manualLayout>
              <c:xMode val="edge"/>
              <c:yMode val="edge"/>
              <c:x val="0.36451970018840052"/>
              <c:y val="0.88263764024464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low"/>
        <c:spPr>
          <a:solidFill>
            <a:schemeClr val="tx2">
              <a:lumMod val="20000"/>
              <a:lumOff val="80000"/>
            </a:schemeClr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0153280"/>
        <c:crosses val="max"/>
        <c:crossBetween val="midCat"/>
      </c:valAx>
      <c:valAx>
        <c:axId val="700153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[°C]</a:t>
                </a:r>
              </a:p>
            </c:rich>
          </c:tx>
          <c:layout>
            <c:manualLayout>
              <c:xMode val="edge"/>
              <c:yMode val="edge"/>
              <c:x val="8.1126251048531522E-3"/>
              <c:y val="0.1337713758066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1610432"/>
        <c:crosses val="max"/>
        <c:crossBetween val="midCat"/>
        <c:majorUnit val="5"/>
      </c:valAx>
      <c:spPr>
        <a:solidFill>
          <a:schemeClr val="bg1"/>
        </a:solidFill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Vapor Pressure Glaser</a:t>
            </a:r>
          </a:p>
        </c:rich>
      </c:tx>
      <c:layout>
        <c:manualLayout>
          <c:xMode val="edge"/>
          <c:yMode val="edge"/>
          <c:x val="8.5320710858763998E-2"/>
          <c:y val="7.79162093695177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119237784129576"/>
          <c:y val="0.1712079215049008"/>
          <c:w val="0.78078257792296191"/>
          <c:h val="0.57579014085722779"/>
        </c:manualLayout>
      </c:layout>
      <c:scatterChart>
        <c:scatterStyle val="lineMarker"/>
        <c:varyColors val="0"/>
        <c:ser>
          <c:idx val="7"/>
          <c:order val="0"/>
          <c:tx>
            <c:strRef>
              <c:f>U_value_Glaser_wall!$A$26</c:f>
              <c:strCache>
                <c:ptCount val="1"/>
                <c:pt idx="0">
                  <c:v>p_Saturation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U_value_Glaser_wall!$B$24:$H$24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U_value_Glaser_wall!$B$26:$H$26</c:f>
              <c:numCache>
                <c:formatCode>0.00E+00</c:formatCode>
                <c:ptCount val="7"/>
                <c:pt idx="0">
                  <c:v>647.6387336375019</c:v>
                </c:pt>
                <c:pt idx="1">
                  <c:v>663.49184904556148</c:v>
                </c:pt>
                <c:pt idx="2">
                  <c:v>665.98816967063874</c:v>
                </c:pt>
                <c:pt idx="3">
                  <c:v>744.80473896037131</c:v>
                </c:pt>
                <c:pt idx="4">
                  <c:v>2378.9533196073789</c:v>
                </c:pt>
                <c:pt idx="5">
                  <c:v>2386.584639526397</c:v>
                </c:pt>
                <c:pt idx="6">
                  <c:v>2486.6279073330325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02-4E4A-B9A0-98AFE6B9AB78}"/>
            </c:ext>
          </c:extLst>
        </c:ser>
        <c:ser>
          <c:idx val="2"/>
          <c:order val="1"/>
          <c:tx>
            <c:strRef>
              <c:f>U_value_Glaser_wall!$A$27</c:f>
              <c:strCache>
                <c:ptCount val="1"/>
                <c:pt idx="0">
                  <c:v>p_Real</c:v>
                </c:pt>
              </c:strCache>
            </c:strRef>
          </c:tx>
          <c:spPr>
            <a:ln w="3810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chemeClr val="tx2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02-4E4A-B9A0-98AFE6B9AB78}"/>
              </c:ext>
            </c:extLst>
          </c:dPt>
          <c:xVal>
            <c:numRef>
              <c:f>U_value_Glaser_wall!$B$24:$H$24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U_value_Glaser_wall!$B$27:$H$27</c:f>
              <c:numCache>
                <c:formatCode>0.00E+00</c:formatCode>
                <c:ptCount val="7"/>
                <c:pt idx="0">
                  <c:v>485.72905022812643</c:v>
                </c:pt>
                <c:pt idx="1">
                  <c:v>485.87631433588348</c:v>
                </c:pt>
                <c:pt idx="2">
                  <c:v>503.6256007251074</c:v>
                </c:pt>
                <c:pt idx="3">
                  <c:v>831.3047340646259</c:v>
                </c:pt>
                <c:pt idx="4">
                  <c:v>851.78467989834576</c:v>
                </c:pt>
                <c:pt idx="5">
                  <c:v>869.53396628756968</c:v>
                </c:pt>
                <c:pt idx="6">
                  <c:v>870.31976756656138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602-4E4A-B9A0-98AFE6B9AB78}"/>
            </c:ext>
          </c:extLst>
        </c:ser>
        <c:ser>
          <c:idx val="9"/>
          <c:order val="2"/>
          <c:tx>
            <c:strRef>
              <c:f>U_value_Glaser_wall!$A$35</c:f>
              <c:strCache>
                <c:ptCount val="1"/>
                <c:pt idx="0">
                  <c:v>Outside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U_value_Glaser_wall!$D$35:$E$35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02-4E4A-B9A0-98AFE6B9AB78}"/>
            </c:ext>
          </c:extLst>
        </c:ser>
        <c:ser>
          <c:idx val="1"/>
          <c:order val="3"/>
          <c:tx>
            <c:strRef>
              <c:f>U_value_Glaser_wall!$A$39</c:f>
              <c:strCache>
                <c:ptCount val="1"/>
                <c:pt idx="0">
                  <c:v>Inside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U_value_Glaser_wall!$D$39:$E$39</c:f>
              <c:numCache>
                <c:formatCode>General</c:formatCode>
                <c:ptCount val="2"/>
                <c:pt idx="0">
                  <c:v>0.37</c:v>
                </c:pt>
                <c:pt idx="1">
                  <c:v>0.37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02-4E4A-B9A0-98AFE6B9AB78}"/>
            </c:ext>
          </c:extLst>
        </c:ser>
        <c:ser>
          <c:idx val="3"/>
          <c:order val="4"/>
          <c:tx>
            <c:strRef>
              <c:f>U_value_Glaser_wall!$A$36</c:f>
              <c:strCache>
                <c:ptCount val="1"/>
                <c:pt idx="0">
                  <c:v>L1/2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U_value_Glaser_wall!$D$36:$E$36</c:f>
              <c:numCache>
                <c:formatCode>General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02-4E4A-B9A0-98AFE6B9AB78}"/>
            </c:ext>
          </c:extLst>
        </c:ser>
        <c:ser>
          <c:idx val="4"/>
          <c:order val="5"/>
          <c:tx>
            <c:strRef>
              <c:f>U_value_Glaser_wall!$A$37</c:f>
              <c:strCache>
                <c:ptCount val="1"/>
                <c:pt idx="0">
                  <c:v>L2/3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U_value_Glaser_wall!$D$37:$E$37</c:f>
              <c:numCache>
                <c:formatCode>General</c:formatCode>
                <c:ptCount val="2"/>
                <c:pt idx="0">
                  <c:v>0.21000000000000002</c:v>
                </c:pt>
                <c:pt idx="1">
                  <c:v>0.21000000000000002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02-4E4A-B9A0-98AFE6B9AB78}"/>
            </c:ext>
          </c:extLst>
        </c:ser>
        <c:ser>
          <c:idx val="6"/>
          <c:order val="6"/>
          <c:tx>
            <c:strRef>
              <c:f>U_value_Glaser_wall!$A$38</c:f>
              <c:strCache>
                <c:ptCount val="1"/>
                <c:pt idx="0">
                  <c:v>L3/4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602-4E4A-B9A0-98AFE6B9AB78}"/>
              </c:ext>
            </c:extLst>
          </c:dPt>
          <c:xVal>
            <c:numRef>
              <c:f>U_value_Glaser_wall!$D$38:$E$38</c:f>
              <c:numCache>
                <c:formatCode>General</c:formatCode>
                <c:ptCount val="2"/>
                <c:pt idx="0">
                  <c:v>0.36</c:v>
                </c:pt>
                <c:pt idx="1">
                  <c:v>0.36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602-4E4A-B9A0-98AFE6B9A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10432"/>
        <c:axId val="700153280"/>
      </c:scatterChart>
      <c:valAx>
        <c:axId val="651610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Position in Wall [m] (outside  0) </a:t>
                </a:r>
              </a:p>
            </c:rich>
          </c:tx>
          <c:layout>
            <c:manualLayout>
              <c:xMode val="edge"/>
              <c:yMode val="edge"/>
              <c:x val="0.35427745512665854"/>
              <c:y val="0.89935732359199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low"/>
        <c:spPr>
          <a:solidFill>
            <a:schemeClr val="tx2">
              <a:lumMod val="20000"/>
              <a:lumOff val="80000"/>
            </a:schemeClr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0153280"/>
        <c:crosses val="max"/>
        <c:crossBetween val="midCat"/>
      </c:valAx>
      <c:valAx>
        <c:axId val="7001532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Vapor Pressure  [Pa]</a:t>
                </a:r>
              </a:p>
            </c:rich>
          </c:tx>
          <c:layout>
            <c:manualLayout>
              <c:xMode val="edge"/>
              <c:yMode val="edge"/>
              <c:x val="5.0476199605123189E-4"/>
              <c:y val="0.16699218259227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1610432"/>
        <c:crosses val="max"/>
        <c:crossBetween val="midCat"/>
        <c:majorUnit val="1000"/>
      </c:valAx>
      <c:spPr>
        <a:solidFill>
          <a:schemeClr val="bg1"/>
        </a:solidFill>
        <a:ln w="190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53021116703343341"/>
          <c:y val="3.3630012650546645E-2"/>
          <c:w val="0.46978883296656659"/>
          <c:h val="0.13351178459023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Vapor Pressure Glaser</a:t>
            </a:r>
          </a:p>
        </c:rich>
      </c:tx>
      <c:layout>
        <c:manualLayout>
          <c:xMode val="edge"/>
          <c:yMode val="edge"/>
          <c:x val="0.11882412636742395"/>
          <c:y val="1.2237457941303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DE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361870384403213"/>
          <c:y val="0.13217862572096181"/>
          <c:w val="0.77891846530344566"/>
          <c:h val="0.66290524887237279"/>
        </c:manualLayout>
      </c:layout>
      <c:scatterChart>
        <c:scatterStyle val="lineMarker"/>
        <c:varyColors val="0"/>
        <c:ser>
          <c:idx val="0"/>
          <c:order val="0"/>
          <c:tx>
            <c:strRef>
              <c:f>U_value_Glaser_wall!$A$26</c:f>
              <c:strCache>
                <c:ptCount val="1"/>
                <c:pt idx="0">
                  <c:v>p_Saturation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U_value_Glaser_wall!$B$29:$H$29</c:f>
              <c:numCache>
                <c:formatCode>0.00</c:formatCode>
                <c:ptCount val="7"/>
                <c:pt idx="0">
                  <c:v>-9.9950024987506222E-4</c:v>
                </c:pt>
                <c:pt idx="1">
                  <c:v>0</c:v>
                </c:pt>
                <c:pt idx="2">
                  <c:v>0.13</c:v>
                </c:pt>
                <c:pt idx="3">
                  <c:v>2.5300000000000002</c:v>
                </c:pt>
                <c:pt idx="4">
                  <c:v>2.68</c:v>
                </c:pt>
                <c:pt idx="5">
                  <c:v>2.81</c:v>
                </c:pt>
                <c:pt idx="6">
                  <c:v>2.8153333333333332</c:v>
                </c:pt>
              </c:numCache>
            </c:numRef>
          </c:xVal>
          <c:yVal>
            <c:numRef>
              <c:f>U_value_Glaser_wall!$B$26:$H$26</c:f>
              <c:numCache>
                <c:formatCode>0.00E+00</c:formatCode>
                <c:ptCount val="7"/>
                <c:pt idx="0">
                  <c:v>647.6387336375019</c:v>
                </c:pt>
                <c:pt idx="1">
                  <c:v>663.49184904556148</c:v>
                </c:pt>
                <c:pt idx="2">
                  <c:v>665.98816967063874</c:v>
                </c:pt>
                <c:pt idx="3">
                  <c:v>744.80473896037131</c:v>
                </c:pt>
                <c:pt idx="4">
                  <c:v>2378.9533196073789</c:v>
                </c:pt>
                <c:pt idx="5">
                  <c:v>2386.584639526397</c:v>
                </c:pt>
                <c:pt idx="6">
                  <c:v>2486.6279073330325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D2-4A3D-97B3-F65603B8E4B6}"/>
            </c:ext>
          </c:extLst>
        </c:ser>
        <c:ser>
          <c:idx val="2"/>
          <c:order val="1"/>
          <c:tx>
            <c:strRef>
              <c:f>U_value_Glaser_wall!$A$27</c:f>
              <c:strCache>
                <c:ptCount val="1"/>
                <c:pt idx="0">
                  <c:v>p_Real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D2-4A3D-97B3-F65603B8E4B6}"/>
              </c:ext>
            </c:extLst>
          </c:dPt>
          <c:xVal>
            <c:numRef>
              <c:f>U_value_Glaser_wall!$B$29:$H$29</c:f>
              <c:numCache>
                <c:formatCode>0.00</c:formatCode>
                <c:ptCount val="7"/>
                <c:pt idx="0">
                  <c:v>-9.9950024987506222E-4</c:v>
                </c:pt>
                <c:pt idx="1">
                  <c:v>0</c:v>
                </c:pt>
                <c:pt idx="2">
                  <c:v>0.13</c:v>
                </c:pt>
                <c:pt idx="3">
                  <c:v>2.5300000000000002</c:v>
                </c:pt>
                <c:pt idx="4">
                  <c:v>2.68</c:v>
                </c:pt>
                <c:pt idx="5">
                  <c:v>2.81</c:v>
                </c:pt>
                <c:pt idx="6">
                  <c:v>2.8153333333333332</c:v>
                </c:pt>
              </c:numCache>
            </c:numRef>
          </c:xVal>
          <c:yVal>
            <c:numRef>
              <c:f>U_value_Glaser_wall!$B$27:$H$27</c:f>
              <c:numCache>
                <c:formatCode>0.00E+00</c:formatCode>
                <c:ptCount val="7"/>
                <c:pt idx="0">
                  <c:v>485.72905022812643</c:v>
                </c:pt>
                <c:pt idx="1">
                  <c:v>485.87631433588348</c:v>
                </c:pt>
                <c:pt idx="2">
                  <c:v>503.6256007251074</c:v>
                </c:pt>
                <c:pt idx="3">
                  <c:v>831.3047340646259</c:v>
                </c:pt>
                <c:pt idx="4">
                  <c:v>851.78467989834576</c:v>
                </c:pt>
                <c:pt idx="5">
                  <c:v>869.53396628756968</c:v>
                </c:pt>
                <c:pt idx="6">
                  <c:v>870.31976756656138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5D2-4A3D-97B3-F65603B8E4B6}"/>
            </c:ext>
          </c:extLst>
        </c:ser>
        <c:ser>
          <c:idx val="9"/>
          <c:order val="2"/>
          <c:tx>
            <c:strRef>
              <c:f>U_value_Glaser_wall!$A$35</c:f>
              <c:strCache>
                <c:ptCount val="1"/>
                <c:pt idx="0">
                  <c:v>Outside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U_value_Glaser_wall!$F$35:$G$35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D2-4A3D-97B3-F65603B8E4B6}"/>
            </c:ext>
          </c:extLst>
        </c:ser>
        <c:ser>
          <c:idx val="1"/>
          <c:order val="3"/>
          <c:tx>
            <c:strRef>
              <c:f>U_value_Glaser_wall!$A$39</c:f>
              <c:strCache>
                <c:ptCount val="1"/>
                <c:pt idx="0">
                  <c:v>Inside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U_value_Glaser_wall!$F$39:$G$39</c:f>
              <c:numCache>
                <c:formatCode>General</c:formatCode>
                <c:ptCount val="2"/>
                <c:pt idx="0">
                  <c:v>2.81</c:v>
                </c:pt>
                <c:pt idx="1">
                  <c:v>2.81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D2-4A3D-97B3-F65603B8E4B6}"/>
            </c:ext>
          </c:extLst>
        </c:ser>
        <c:ser>
          <c:idx val="3"/>
          <c:order val="4"/>
          <c:tx>
            <c:strRef>
              <c:f>U_value_Glaser_wall!$A$36</c:f>
              <c:strCache>
                <c:ptCount val="1"/>
                <c:pt idx="0">
                  <c:v>L1/2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U_value_Glaser_wall!$F$36:$G$36</c:f>
              <c:numCache>
                <c:formatCode>General</c:formatCode>
                <c:ptCount val="2"/>
                <c:pt idx="0">
                  <c:v>0.13</c:v>
                </c:pt>
                <c:pt idx="1">
                  <c:v>0.13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D2-4A3D-97B3-F65603B8E4B6}"/>
            </c:ext>
          </c:extLst>
        </c:ser>
        <c:ser>
          <c:idx val="4"/>
          <c:order val="5"/>
          <c:tx>
            <c:strRef>
              <c:f>U_value_Glaser_wall!$A$37</c:f>
              <c:strCache>
                <c:ptCount val="1"/>
                <c:pt idx="0">
                  <c:v>L2/3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U_value_Glaser_wall!$F$37:$G$37</c:f>
              <c:numCache>
                <c:formatCode>General</c:formatCode>
                <c:ptCount val="2"/>
                <c:pt idx="0">
                  <c:v>2.5300000000000002</c:v>
                </c:pt>
                <c:pt idx="1">
                  <c:v>2.5300000000000002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D2-4A3D-97B3-F65603B8E4B6}"/>
            </c:ext>
          </c:extLst>
        </c:ser>
        <c:ser>
          <c:idx val="6"/>
          <c:order val="6"/>
          <c:tx>
            <c:strRef>
              <c:f>U_value_Glaser_wall!$A$38</c:f>
              <c:strCache>
                <c:ptCount val="1"/>
                <c:pt idx="0">
                  <c:v>L3/4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5D2-4A3D-97B3-F65603B8E4B6}"/>
              </c:ext>
            </c:extLst>
          </c:dPt>
          <c:xVal>
            <c:numRef>
              <c:f>U_value_Glaser_wall!$F$38:$G$38</c:f>
              <c:numCache>
                <c:formatCode>General</c:formatCode>
                <c:ptCount val="2"/>
                <c:pt idx="0">
                  <c:v>2.68</c:v>
                </c:pt>
                <c:pt idx="1">
                  <c:v>2.68</c:v>
                </c:pt>
              </c:numCache>
            </c:numRef>
          </c:xVal>
          <c:yVal>
            <c:numRef>
              <c:f>U_value_Glaser_wall!$D$34:$E$34</c:f>
              <c:numCache>
                <c:formatCode>0</c:formatCode>
                <c:ptCount val="2"/>
                <c:pt idx="0">
                  <c:v>2686.584639526397</c:v>
                </c:pt>
                <c:pt idx="1">
                  <c:v>185.72905022812643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D2-4A3D-97B3-F65603B8E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10432"/>
        <c:axId val="700153280"/>
      </c:scatterChart>
      <c:valAx>
        <c:axId val="651610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Sd Value  [m] (outsdide 0) </a:t>
                </a:r>
              </a:p>
            </c:rich>
          </c:tx>
          <c:layout>
            <c:manualLayout>
              <c:xMode val="edge"/>
              <c:yMode val="edge"/>
              <c:x val="0.43616271138910934"/>
              <c:y val="0.89984494309069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low"/>
        <c:spPr>
          <a:solidFill>
            <a:schemeClr val="tx2">
              <a:lumMod val="20000"/>
              <a:lumOff val="80000"/>
            </a:schemeClr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0153280"/>
        <c:crosses val="max"/>
        <c:crossBetween val="midCat"/>
      </c:valAx>
      <c:valAx>
        <c:axId val="7001532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baseline="0">
                    <a:effectLst/>
                  </a:rPr>
                  <a:t>Vapor Pressure  </a:t>
                </a:r>
                <a:r>
                  <a:rPr lang="en-US"/>
                  <a:t>[Pa]</a:t>
                </a:r>
              </a:p>
            </c:rich>
          </c:tx>
          <c:layout>
            <c:manualLayout>
              <c:xMode val="edge"/>
              <c:yMode val="edge"/>
              <c:x val="1.4861637767510396E-2"/>
              <c:y val="0.14769578032258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1610432"/>
        <c:crosses val="max"/>
        <c:crossBetween val="midCat"/>
        <c:majorUnit val="1000"/>
      </c:valAx>
      <c:spPr>
        <a:solidFill>
          <a:schemeClr val="bg1"/>
        </a:solidFill>
        <a:ln w="19050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50086928539435294"/>
          <c:y val="3.0199210437782116E-3"/>
          <c:w val="0.46330713081389285"/>
          <c:h val="0.12211865465594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AT" b="1"/>
              <a:t>Moisture Content at Layer Border, whole year</a:t>
            </a:r>
          </a:p>
        </c:rich>
      </c:tx>
      <c:layout>
        <c:manualLayout>
          <c:xMode val="edge"/>
          <c:yMode val="edge"/>
          <c:x val="0.25593678869459663"/>
          <c:y val="3.96805531424935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0788730550389807"/>
          <c:y val="0.21198102400857508"/>
          <c:w val="0.5616013424794204"/>
          <c:h val="0.59180268973782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U_value_Glaser_wall!$H$83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U_value_Glaser_wall!$J$83:$N$83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1-4DBB-880F-E45AE8B3BEFF}"/>
            </c:ext>
          </c:extLst>
        </c:ser>
        <c:ser>
          <c:idx val="1"/>
          <c:order val="1"/>
          <c:tx>
            <c:strRef>
              <c:f>U_value_Glaser_wall!$H$84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U_value_Glaser_wall!$J$84:$N$84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1-4DBB-880F-E45AE8B3BEFF}"/>
            </c:ext>
          </c:extLst>
        </c:ser>
        <c:ser>
          <c:idx val="2"/>
          <c:order val="2"/>
          <c:tx>
            <c:strRef>
              <c:f>U_value_Glaser_wall!$H$85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U_value_Glaser_wall!$J$85:$N$85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0.27180252185789378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1-4DBB-880F-E45AE8B3BEFF}"/>
            </c:ext>
          </c:extLst>
        </c:ser>
        <c:ser>
          <c:idx val="3"/>
          <c:order val="3"/>
          <c:tx>
            <c:strRef>
              <c:f>U_value_Glaser_wall!$H$86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U_value_Glaser_wall!$J$86:$N$86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0.6436609378854421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11-4DBB-880F-E45AE8B3BEFF}"/>
            </c:ext>
          </c:extLst>
        </c:ser>
        <c:ser>
          <c:idx val="4"/>
          <c:order val="4"/>
          <c:tx>
            <c:strRef>
              <c:f>U_value_Glaser_wall!$H$87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U_value_Glaser_wall!$J$87:$N$87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0.80652742822117718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11-4DBB-880F-E45AE8B3BEFF}"/>
            </c:ext>
          </c:extLst>
        </c:ser>
        <c:ser>
          <c:idx val="5"/>
          <c:order val="5"/>
          <c:tx>
            <c:strRef>
              <c:f>U_value_Glaser_wall!$H$88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U_value_Glaser_wall!$J$88:$N$88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0.46491659123950324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11-4DBB-880F-E45AE8B3BEFF}"/>
            </c:ext>
          </c:extLst>
        </c:ser>
        <c:ser>
          <c:idx val="6"/>
          <c:order val="6"/>
          <c:tx>
            <c:strRef>
              <c:f>U_value_Glaser_wall!$H$89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U_value_Glaser_wall!$J$89:$N$89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11-4DBB-880F-E45AE8B3BEFF}"/>
            </c:ext>
          </c:extLst>
        </c:ser>
        <c:ser>
          <c:idx val="7"/>
          <c:order val="7"/>
          <c:tx>
            <c:strRef>
              <c:f>U_value_Glaser_wall!$H$90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U_value_Glaser_wall!$J$90:$N$90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11-4DBB-880F-E45AE8B3BEFF}"/>
            </c:ext>
          </c:extLst>
        </c:ser>
        <c:ser>
          <c:idx val="8"/>
          <c:order val="8"/>
          <c:tx>
            <c:strRef>
              <c:f>U_value_Glaser_wall!$H$91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U_value_Glaser_wall!$J$91:$N$91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11-4DBB-880F-E45AE8B3BEFF}"/>
            </c:ext>
          </c:extLst>
        </c:ser>
        <c:ser>
          <c:idx val="9"/>
          <c:order val="9"/>
          <c:tx>
            <c:strRef>
              <c:f>U_value_Glaser_wall!$H$92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U_value_Glaser_wall!$J$92:$N$92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11-4DBB-880F-E45AE8B3BEFF}"/>
            </c:ext>
          </c:extLst>
        </c:ser>
        <c:ser>
          <c:idx val="10"/>
          <c:order val="10"/>
          <c:tx>
            <c:strRef>
              <c:f>U_value_Glaser_wall!$H$93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U_value_Glaser_wall!$J$93:$N$93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11-4DBB-880F-E45AE8B3BEFF}"/>
            </c:ext>
          </c:extLst>
        </c:ser>
        <c:ser>
          <c:idx val="11"/>
          <c:order val="11"/>
          <c:tx>
            <c:strRef>
              <c:f>U_value_Glaser_wall!$H$94</c:f>
              <c:strCache>
                <c:ptCount val="1"/>
                <c:pt idx="0">
                  <c:v>Sept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1"/>
          <c:cat>
            <c:strRef>
              <c:f>U_value_Glaser_wall!$J$80:$N$80</c:f>
              <c:strCache>
                <c:ptCount val="5"/>
                <c:pt idx="0">
                  <c:v>o/L1</c:v>
                </c:pt>
                <c:pt idx="1">
                  <c:v>L1/L2</c:v>
                </c:pt>
                <c:pt idx="2">
                  <c:v>L2/L3</c:v>
                </c:pt>
                <c:pt idx="3">
                  <c:v>L3/L4</c:v>
                </c:pt>
                <c:pt idx="4">
                  <c:v>L4/i</c:v>
                </c:pt>
              </c:strCache>
            </c:strRef>
          </c:cat>
          <c:val>
            <c:numRef>
              <c:f>U_value_Glaser_wall!$J$94:$N$94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C-D511-4DBB-880F-E45AE8B3BEFF}"/>
            </c:ext>
          </c:extLst>
        </c:ser>
        <c:ser>
          <c:idx val="12"/>
          <c:order val="12"/>
          <c:tx>
            <c:strRef>
              <c:f>U_value_Glaser_wall!$H$95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U_value_Glaser_wall!$J$95:$N$95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4-4739-9B12-19DB42DA7E38}"/>
            </c:ext>
          </c:extLst>
        </c:ser>
        <c:ser>
          <c:idx val="13"/>
          <c:order val="13"/>
          <c:tx>
            <c:strRef>
              <c:f>U_value_Glaser_wall!$H$96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U_value_Glaser_wall!$J$96:$N$96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74-4739-9B12-19DB42DA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7177600"/>
        <c:axId val="1097187168"/>
      </c:barChart>
      <c:catAx>
        <c:axId val="109717760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shade val="50000"/>
              </a:schemeClr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187168"/>
        <c:crosses val="autoZero"/>
        <c:auto val="1"/>
        <c:lblAlgn val="ctr"/>
        <c:lblOffset val="100"/>
        <c:noMultiLvlLbl val="0"/>
      </c:catAx>
      <c:valAx>
        <c:axId val="10971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shade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 Accum. [kg/m²]</a:t>
                </a:r>
              </a:p>
            </c:rich>
          </c:tx>
          <c:layout>
            <c:manualLayout>
              <c:xMode val="edge"/>
              <c:yMode val="edge"/>
              <c:x val="0.22360983427336198"/>
              <c:y val="0.1090926080161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>
            <a:solidFill>
              <a:schemeClr val="accen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177600"/>
        <c:crosses val="autoZero"/>
        <c:crossBetween val="between"/>
      </c:valAx>
      <c:spPr>
        <a:solidFill>
          <a:schemeClr val="bg1"/>
        </a:solidFill>
        <a:ln w="25400">
          <a:solidFill>
            <a:schemeClr val="accent1">
              <a:shade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3.0279094574010095E-3"/>
          <c:y val="5.8794211792559788E-2"/>
          <c:w val="0.22326167165788657"/>
          <c:h val="0.759375734350116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5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AT" b="1"/>
              <a:t>Course of temperature every Month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805278689304798"/>
          <c:y val="0.20188829354544008"/>
          <c:w val="0.77445737186365515"/>
          <c:h val="0.50382253401771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U_value_Glaser_wall!$G$51</c:f>
              <c:strCache>
                <c:ptCount val="1"/>
                <c:pt idx="0">
                  <c:v>Jan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U_value_Glaser_wall!$I$51:$O$51</c:f>
              <c:numCache>
                <c:formatCode>0.00</c:formatCode>
                <c:ptCount val="7"/>
                <c:pt idx="0">
                  <c:v>-1.3</c:v>
                </c:pt>
                <c:pt idx="1">
                  <c:v>-0.93126952048502676</c:v>
                </c:pt>
                <c:pt idx="2">
                  <c:v>-0.87391144589380865</c:v>
                </c:pt>
                <c:pt idx="3">
                  <c:v>0.8468307918427338</c:v>
                </c:pt>
                <c:pt idx="4">
                  <c:v>20.205180966378833</c:v>
                </c:pt>
                <c:pt idx="5">
                  <c:v>20.262539040970051</c:v>
                </c:pt>
                <c:pt idx="6">
                  <c:v>20.999999999999996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5C-41C8-B15F-BA9E62A23610}"/>
            </c:ext>
          </c:extLst>
        </c:ser>
        <c:ser>
          <c:idx val="1"/>
          <c:order val="1"/>
          <c:tx>
            <c:strRef>
              <c:f>U_value_Glaser_wall!$G$52</c:f>
              <c:strCache>
                <c:ptCount val="1"/>
                <c:pt idx="0">
                  <c:v>Feb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U_value_Glaser_wall!$I$52:$O$52</c:f>
              <c:numCache>
                <c:formatCode>0.00</c:formatCode>
                <c:ptCount val="7"/>
                <c:pt idx="0">
                  <c:v>0.8</c:v>
                </c:pt>
                <c:pt idx="1">
                  <c:v>1.1340069814440565</c:v>
                </c:pt>
                <c:pt idx="2">
                  <c:v>1.185963623002021</c:v>
                </c:pt>
                <c:pt idx="3">
                  <c:v>2.7446628697409516</c:v>
                </c:pt>
                <c:pt idx="4">
                  <c:v>20.280029395553921</c:v>
                </c:pt>
                <c:pt idx="5">
                  <c:v>20.331986037111886</c:v>
                </c:pt>
                <c:pt idx="6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5C-41C8-B15F-BA9E62A23610}"/>
            </c:ext>
          </c:extLst>
        </c:ser>
        <c:ser>
          <c:idx val="2"/>
          <c:order val="2"/>
          <c:tx>
            <c:strRef>
              <c:f>U_value_Glaser_wall!$G$53</c:f>
              <c:strCache>
                <c:ptCount val="1"/>
                <c:pt idx="0">
                  <c:v>Mar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U_value_Glaser_wall!$I$53:$O$53</c:f>
              <c:numCache>
                <c:formatCode>0.00</c:formatCode>
                <c:ptCount val="7"/>
                <c:pt idx="0">
                  <c:v>5.6</c:v>
                </c:pt>
                <c:pt idx="1">
                  <c:v>5.8546389858533896</c:v>
                </c:pt>
                <c:pt idx="2">
                  <c:v>5.8942494947639172</c:v>
                </c:pt>
                <c:pt idx="3">
                  <c:v>7.0825647620797358</c:v>
                </c:pt>
                <c:pt idx="4">
                  <c:v>20.451111519382692</c:v>
                </c:pt>
                <c:pt idx="5">
                  <c:v>20.49072202829322</c:v>
                </c:pt>
                <c:pt idx="6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5C-41C8-B15F-BA9E62A23610}"/>
            </c:ext>
          </c:extLst>
        </c:ser>
        <c:ser>
          <c:idx val="3"/>
          <c:order val="3"/>
          <c:tx>
            <c:strRef>
              <c:f>U_value_Glaser_wall!$G$54</c:f>
              <c:strCache>
                <c:ptCount val="1"/>
                <c:pt idx="0">
                  <c:v>Apr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U_value_Glaser_wall!$I$54:$O$54</c:f>
              <c:numCache>
                <c:formatCode>0.00</c:formatCode>
                <c:ptCount val="7"/>
                <c:pt idx="0">
                  <c:v>10.3</c:v>
                </c:pt>
                <c:pt idx="1">
                  <c:v>10.476924490170862</c:v>
                </c:pt>
                <c:pt idx="2">
                  <c:v>10.504446077530774</c:v>
                </c:pt>
                <c:pt idx="3">
                  <c:v>11.330093698328129</c:v>
                </c:pt>
                <c:pt idx="4">
                  <c:v>20.618629432298363</c:v>
                </c:pt>
                <c:pt idx="5">
                  <c:v>20.646151019658273</c:v>
                </c:pt>
                <c:pt idx="6">
                  <c:v>20.999999999999996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5C-41C8-B15F-BA9E62A23610}"/>
            </c:ext>
          </c:extLst>
        </c:ser>
        <c:ser>
          <c:idx val="4"/>
          <c:order val="4"/>
          <c:tx>
            <c:strRef>
              <c:f>U_value_Glaser_wall!$G$55</c:f>
              <c:strCache>
                <c:ptCount val="1"/>
                <c:pt idx="0">
                  <c:v>May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U_value_Glaser_wall!$I$55:$O$55</c:f>
              <c:numCache>
                <c:formatCode>0.00</c:formatCode>
                <c:ptCount val="7"/>
                <c:pt idx="0">
                  <c:v>14.4</c:v>
                </c:pt>
                <c:pt idx="1">
                  <c:v>14.509130993937168</c:v>
                </c:pt>
                <c:pt idx="2">
                  <c:v>14.526106926327394</c:v>
                </c:pt>
                <c:pt idx="3">
                  <c:v>15.035384898034174</c:v>
                </c:pt>
                <c:pt idx="4">
                  <c:v>20.764762079735441</c:v>
                </c:pt>
                <c:pt idx="5">
                  <c:v>20.781738012125668</c:v>
                </c:pt>
                <c:pt idx="6">
                  <c:v>21.000000000000004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55C-41C8-B15F-BA9E62A23610}"/>
            </c:ext>
          </c:extLst>
        </c:ser>
        <c:ser>
          <c:idx val="5"/>
          <c:order val="5"/>
          <c:tx>
            <c:strRef>
              <c:f>U_value_Glaser_wall!$G$56</c:f>
              <c:strCache>
                <c:ptCount val="1"/>
                <c:pt idx="0">
                  <c:v>Jun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U_value_Glaser_wall!$I$56:$O$56</c:f>
              <c:numCache>
                <c:formatCode>0.00</c:formatCode>
                <c:ptCount val="7"/>
                <c:pt idx="0">
                  <c:v>17.899999999999999</c:v>
                </c:pt>
                <c:pt idx="1">
                  <c:v>17.951258497152303</c:v>
                </c:pt>
                <c:pt idx="2">
                  <c:v>17.959232041153772</c:v>
                </c:pt>
                <c:pt idx="3">
                  <c:v>18.198438361197866</c:v>
                </c:pt>
                <c:pt idx="4">
                  <c:v>20.889509461693915</c:v>
                </c:pt>
                <c:pt idx="5">
                  <c:v>20.897483005695385</c:v>
                </c:pt>
                <c:pt idx="6">
                  <c:v>20.999999999999996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5C-41C8-B15F-BA9E62A23610}"/>
            </c:ext>
          </c:extLst>
        </c:ser>
        <c:ser>
          <c:idx val="6"/>
          <c:order val="6"/>
          <c:tx>
            <c:strRef>
              <c:f>U_value_Glaser_wall!$G$57</c:f>
              <c:strCache>
                <c:ptCount val="1"/>
                <c:pt idx="0">
                  <c:v>July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U_value_Glaser_wall!$I$57:$O$57</c:f>
              <c:numCache>
                <c:formatCode>0.00</c:formatCode>
                <c:ptCount val="7"/>
                <c:pt idx="0">
                  <c:v>18.899999999999999</c:v>
                </c:pt>
                <c:pt idx="1">
                  <c:v>18.934723498070916</c:v>
                </c:pt>
                <c:pt idx="2">
                  <c:v>18.940124931104169</c:v>
                </c:pt>
                <c:pt idx="3">
                  <c:v>19.102167922101781</c:v>
                </c:pt>
                <c:pt idx="4">
                  <c:v>20.925151570824912</c:v>
                </c:pt>
                <c:pt idx="5">
                  <c:v>20.930553003858165</c:v>
                </c:pt>
                <c:pt idx="6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55C-41C8-B15F-BA9E62A23610}"/>
            </c:ext>
          </c:extLst>
        </c:ser>
        <c:ser>
          <c:idx val="7"/>
          <c:order val="7"/>
          <c:tx>
            <c:strRef>
              <c:f>U_value_Glaser_wall!$G$58</c:f>
              <c:strCache>
                <c:ptCount val="1"/>
                <c:pt idx="0">
                  <c:v>Aug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U_value_Glaser_wall!$I$58:$O$58</c:f>
              <c:numCache>
                <c:formatCode>0.00</c:formatCode>
                <c:ptCount val="7"/>
                <c:pt idx="0">
                  <c:v>18.5</c:v>
                </c:pt>
                <c:pt idx="1">
                  <c:v>18.541337497703474</c:v>
                </c:pt>
                <c:pt idx="2">
                  <c:v>18.547767775124015</c:v>
                </c:pt>
                <c:pt idx="3">
                  <c:v>18.74067609774022</c:v>
                </c:pt>
                <c:pt idx="4">
                  <c:v>20.910894727172519</c:v>
                </c:pt>
                <c:pt idx="5">
                  <c:v>20.91732500459306</c:v>
                </c:pt>
                <c:pt idx="6">
                  <c:v>21.000000000000004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55C-41C8-B15F-BA9E62A23610}"/>
            </c:ext>
          </c:extLst>
        </c:ser>
        <c:ser>
          <c:idx val="8"/>
          <c:order val="8"/>
          <c:tx>
            <c:strRef>
              <c:f>U_value_Glaser_wall!$G$59</c:f>
              <c:strCache>
                <c:ptCount val="1"/>
                <c:pt idx="0">
                  <c:v>Sept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U_value_Glaser_wall!$I$59:$O$59</c:f>
              <c:numCache>
                <c:formatCode>0.00</c:formatCode>
                <c:ptCount val="7"/>
                <c:pt idx="0">
                  <c:v>14.2</c:v>
                </c:pt>
                <c:pt idx="1">
                  <c:v>14.312437993753445</c:v>
                </c:pt>
                <c:pt idx="2">
                  <c:v>14.329928348337313</c:v>
                </c:pt>
                <c:pt idx="3">
                  <c:v>14.85463898585339</c:v>
                </c:pt>
                <c:pt idx="4">
                  <c:v>20.757633657909242</c:v>
                </c:pt>
                <c:pt idx="5">
                  <c:v>20.775124012493112</c:v>
                </c:pt>
                <c:pt idx="6">
                  <c:v>21.000000000000004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55C-41C8-B15F-BA9E62A23610}"/>
            </c:ext>
          </c:extLst>
        </c:ser>
        <c:ser>
          <c:idx val="9"/>
          <c:order val="9"/>
          <c:tx>
            <c:strRef>
              <c:f>U_value_Glaser_wall!$G$60</c:f>
              <c:strCache>
                <c:ptCount val="1"/>
                <c:pt idx="0">
                  <c:v>Oct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U_value_Glaser_wall!$I$60:$O$60</c:f>
              <c:numCache>
                <c:formatCode>0.00</c:formatCode>
                <c:ptCount val="7"/>
                <c:pt idx="0">
                  <c:v>10</c:v>
                </c:pt>
                <c:pt idx="1">
                  <c:v>10.181884989895279</c:v>
                </c:pt>
                <c:pt idx="2">
                  <c:v>10.210178210545655</c:v>
                </c:pt>
                <c:pt idx="3">
                  <c:v>11.058974830056954</c:v>
                </c:pt>
                <c:pt idx="4">
                  <c:v>20.607936799559063</c:v>
                </c:pt>
                <c:pt idx="5">
                  <c:v>20.636230020209439</c:v>
                </c:pt>
                <c:pt idx="6">
                  <c:v>20.999999999999996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55C-41C8-B15F-BA9E62A23610}"/>
            </c:ext>
          </c:extLst>
        </c:ser>
        <c:ser>
          <c:idx val="10"/>
          <c:order val="10"/>
          <c:tx>
            <c:strRef>
              <c:f>U_value_Glaser_wall!$G$61</c:f>
              <c:strCache>
                <c:ptCount val="1"/>
                <c:pt idx="0">
                  <c:v>Nov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U_value_Glaser_wall!$I$61:$O$61</c:f>
              <c:numCache>
                <c:formatCode>0.00</c:formatCode>
                <c:ptCount val="7"/>
                <c:pt idx="0">
                  <c:v>4.4000000000000004</c:v>
                </c:pt>
                <c:pt idx="1">
                  <c:v>4.6744809847510567</c:v>
                </c:pt>
                <c:pt idx="2">
                  <c:v>4.7171780268234436</c:v>
                </c:pt>
                <c:pt idx="3">
                  <c:v>5.9980892889950406</c:v>
                </c:pt>
                <c:pt idx="4">
                  <c:v>20.4083409884255</c:v>
                </c:pt>
                <c:pt idx="5">
                  <c:v>20.451038030497887</c:v>
                </c:pt>
                <c:pt idx="6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55C-41C8-B15F-BA9E62A23610}"/>
            </c:ext>
          </c:extLst>
        </c:ser>
        <c:ser>
          <c:idx val="11"/>
          <c:order val="11"/>
          <c:tx>
            <c:strRef>
              <c:f>U_value_Glaser_wall!$G$62</c:f>
              <c:strCache>
                <c:ptCount val="1"/>
                <c:pt idx="0">
                  <c:v>Dec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U_value_Glaser_wall!$I$48:$O$48</c:f>
              <c:numCache>
                <c:formatCode>0.00</c:formatCode>
                <c:ptCount val="7"/>
                <c:pt idx="0">
                  <c:v>-3.6999999999999998E-2</c:v>
                </c:pt>
                <c:pt idx="1">
                  <c:v>0</c:v>
                </c:pt>
                <c:pt idx="2">
                  <c:v>0.01</c:v>
                </c:pt>
                <c:pt idx="3">
                  <c:v>0.21000000000000002</c:v>
                </c:pt>
                <c:pt idx="4">
                  <c:v>0.36</c:v>
                </c:pt>
                <c:pt idx="5">
                  <c:v>0.37</c:v>
                </c:pt>
                <c:pt idx="6">
                  <c:v>0.40700000000000003</c:v>
                </c:pt>
              </c:numCache>
            </c:numRef>
          </c:xVal>
          <c:yVal>
            <c:numRef>
              <c:f>U_value_Glaser_wall!$I$62:$O$62</c:f>
              <c:numCache>
                <c:formatCode>0.00</c:formatCode>
                <c:ptCount val="7"/>
                <c:pt idx="0">
                  <c:v>-0.1</c:v>
                </c:pt>
                <c:pt idx="1">
                  <c:v>0.24888848061730659</c:v>
                </c:pt>
                <c:pt idx="2">
                  <c:v>0.30316002204666537</c:v>
                </c:pt>
                <c:pt idx="3">
                  <c:v>1.9313062649274295</c:v>
                </c:pt>
                <c:pt idx="4">
                  <c:v>20.247951497336025</c:v>
                </c:pt>
                <c:pt idx="5">
                  <c:v>20.302223038765383</c:v>
                </c:pt>
                <c:pt idx="6">
                  <c:v>20.999999999999996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55C-41C8-B15F-BA9E62A23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673983"/>
        <c:axId val="1174687295"/>
      </c:scatterChart>
      <c:valAx>
        <c:axId val="11746739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Position in wall (m] </a:t>
                </a:r>
              </a:p>
            </c:rich>
          </c:tx>
          <c:layout>
            <c:manualLayout>
              <c:xMode val="edge"/>
              <c:yMode val="edge"/>
              <c:x val="0.33549712904464568"/>
              <c:y val="0.11404885391916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4687295"/>
        <c:crosses val="max"/>
        <c:crossBetween val="midCat"/>
      </c:valAx>
      <c:valAx>
        <c:axId val="11746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[°C]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1.9408230181173318E-2"/>
              <c:y val="0.32078023217313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4673983"/>
        <c:crossesAt val="-0.1"/>
        <c:crossBetween val="midCat"/>
      </c:valAx>
      <c:spPr>
        <a:solidFill>
          <a:schemeClr val="bg1"/>
        </a:solidFill>
        <a:ln w="25400">
          <a:solidFill>
            <a:srgbClr val="7030A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en-US" sz="1100" b="0" i="0" u="none" strike="noStrike" kern="1200" baseline="0">
          <a:solidFill>
            <a:sysClr val="windowText" lastClr="000000">
              <a:lumMod val="65000"/>
              <a:lumOff val="35000"/>
            </a:sysClr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71972336027382"/>
          <c:y val="2.8252405949256341E-2"/>
          <c:w val="0.7612414175762500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U_value_tube!$B$17:$B$20</c:f>
              <c:strCache>
                <c:ptCount val="4"/>
                <c:pt idx="0">
                  <c:v>Ri=1/alpha_i</c:v>
                </c:pt>
                <c:pt idx="1">
                  <c:v>R_tube</c:v>
                </c:pt>
                <c:pt idx="2">
                  <c:v>R_Insul</c:v>
                </c:pt>
                <c:pt idx="3">
                  <c:v>Ra=1/alpha_o</c:v>
                </c:pt>
              </c:strCache>
            </c:strRef>
          </c:cat>
          <c:val>
            <c:numRef>
              <c:f>U_value_tube!$C$17:$C$20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DBB-4FE2-B0EC-F168C0587A89}"/>
            </c:ext>
          </c:extLst>
        </c:ser>
        <c:ser>
          <c:idx val="1"/>
          <c:order val="1"/>
          <c:invertIfNegative val="0"/>
          <c:cat>
            <c:strRef>
              <c:f>U_value_tube!$B$17:$B$20</c:f>
              <c:strCache>
                <c:ptCount val="4"/>
                <c:pt idx="0">
                  <c:v>Ri=1/alpha_i</c:v>
                </c:pt>
                <c:pt idx="1">
                  <c:v>R_tube</c:v>
                </c:pt>
                <c:pt idx="2">
                  <c:v>R_Insul</c:v>
                </c:pt>
                <c:pt idx="3">
                  <c:v>Ra=1/alpha_o</c:v>
                </c:pt>
              </c:strCache>
            </c:strRef>
          </c:cat>
          <c:val>
            <c:numRef>
              <c:f>U_value_tube!$D$17:$D$20</c:f>
              <c:numCache>
                <c:formatCode>0.00E+00</c:formatCode>
                <c:ptCount val="4"/>
                <c:pt idx="0">
                  <c:v>2E-3</c:v>
                </c:pt>
                <c:pt idx="1">
                  <c:v>7.8378229478889908E-6</c:v>
                </c:pt>
                <c:pt idx="2">
                  <c:v>0.83177661667193425</c:v>
                </c:pt>
                <c:pt idx="3">
                  <c:v>3.428571428571428E-2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B-4FE2-B0EC-F168C058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53280"/>
        <c:axId val="125160832"/>
      </c:barChart>
      <c:catAx>
        <c:axId val="1251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60832"/>
        <c:crosses val="autoZero"/>
        <c:auto val="1"/>
        <c:lblAlgn val="ctr"/>
        <c:lblOffset val="100"/>
        <c:noMultiLvlLbl val="0"/>
      </c:catAx>
      <c:valAx>
        <c:axId val="12516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Heat Resisitance R</a:t>
                </a:r>
              </a:p>
            </c:rich>
          </c:tx>
          <c:layout>
            <c:manualLayout>
              <c:xMode val="edge"/>
              <c:yMode val="edge"/>
              <c:x val="1.3525271490538168E-2"/>
              <c:y val="6.553382239217707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153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Q-T Diagram Parallel and Counter Flow</a:t>
            </a:r>
          </a:p>
        </c:rich>
      </c:tx>
      <c:layout>
        <c:manualLayout>
          <c:xMode val="edge"/>
          <c:yMode val="edge"/>
          <c:x val="0.1322223443663776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276031858357772"/>
          <c:y val="0.10994771599017771"/>
          <c:w val="0.76386557027374891"/>
          <c:h val="0.708151741889062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'heat exchanger'!$E$10</c:f>
              <c:strCache>
                <c:ptCount val="1"/>
                <c:pt idx="0">
                  <c:v>thot_par</c:v>
                </c:pt>
              </c:strCache>
            </c:strRef>
          </c:tx>
          <c:xVal>
            <c:numRef>
              <c:f>'heat exchanger'!$F$9:$H$9</c:f>
              <c:numCache>
                <c:formatCode>0.00</c:formatCode>
                <c:ptCount val="3"/>
                <c:pt idx="0" formatCode="0">
                  <c:v>0</c:v>
                </c:pt>
                <c:pt idx="1">
                  <c:v>16943.564070993751</c:v>
                </c:pt>
                <c:pt idx="2">
                  <c:v>25081.591076717701</c:v>
                </c:pt>
              </c:numCache>
            </c:numRef>
          </c:xVal>
          <c:yVal>
            <c:numRef>
              <c:f>'heat exchanger'!$F$10:$H$10</c:f>
              <c:numCache>
                <c:formatCode>0.00</c:formatCode>
                <c:ptCount val="3"/>
                <c:pt idx="0" formatCode="General">
                  <c:v>55</c:v>
                </c:pt>
                <c:pt idx="1">
                  <c:v>30.683957843368525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D4-49B8-B4F0-4D2F58138998}"/>
            </c:ext>
          </c:extLst>
        </c:ser>
        <c:ser>
          <c:idx val="1"/>
          <c:order val="1"/>
          <c:tx>
            <c:strRef>
              <c:f>'heat exchanger'!$E$11</c:f>
              <c:strCache>
                <c:ptCount val="1"/>
                <c:pt idx="0">
                  <c:v>tcold_par</c:v>
                </c:pt>
              </c:strCache>
            </c:strRef>
          </c:tx>
          <c:xVal>
            <c:numRef>
              <c:f>'heat exchanger'!$F$9:$H$9</c:f>
              <c:numCache>
                <c:formatCode>0.00</c:formatCode>
                <c:ptCount val="3"/>
                <c:pt idx="0" formatCode="0">
                  <c:v>0</c:v>
                </c:pt>
                <c:pt idx="1">
                  <c:v>16943.564070993751</c:v>
                </c:pt>
                <c:pt idx="2">
                  <c:v>25081.591076717701</c:v>
                </c:pt>
              </c:numCache>
            </c:numRef>
          </c:xVal>
          <c:yVal>
            <c:numRef>
              <c:f>'heat exchanger'!$F$11:$H$11</c:f>
              <c:numCache>
                <c:formatCode>0.00</c:formatCode>
                <c:ptCount val="3"/>
                <c:pt idx="0" formatCode="General">
                  <c:v>10</c:v>
                </c:pt>
                <c:pt idx="1">
                  <c:v>30.267421137552333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D4-49B8-B4F0-4D2F58138998}"/>
            </c:ext>
          </c:extLst>
        </c:ser>
        <c:ser>
          <c:idx val="2"/>
          <c:order val="2"/>
          <c:tx>
            <c:strRef>
              <c:f>'heat exchanger'!$E$12</c:f>
              <c:strCache>
                <c:ptCount val="1"/>
                <c:pt idx="0">
                  <c:v>thot_counter</c:v>
                </c:pt>
              </c:strCache>
            </c:strRef>
          </c:tx>
          <c:xVal>
            <c:numRef>
              <c:f>'heat exchanger'!$F$9:$H$9</c:f>
              <c:numCache>
                <c:formatCode>0.00</c:formatCode>
                <c:ptCount val="3"/>
                <c:pt idx="0" formatCode="0">
                  <c:v>0</c:v>
                </c:pt>
                <c:pt idx="1">
                  <c:v>16943.564070993751</c:v>
                </c:pt>
                <c:pt idx="2">
                  <c:v>25081.591076717701</c:v>
                </c:pt>
              </c:numCache>
            </c:numRef>
          </c:xVal>
          <c:yVal>
            <c:numRef>
              <c:f>'heat exchanger'!$F$12:$H$12</c:f>
              <c:numCache>
                <c:formatCode>0.00</c:formatCode>
                <c:ptCount val="3"/>
                <c:pt idx="0" formatCode="General">
                  <c:v>55</c:v>
                </c:pt>
                <c:pt idx="1">
                  <c:v>30.683957843368521</c:v>
                </c:pt>
                <c:pt idx="2">
                  <c:v>19.004915174786518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D4-49B8-B4F0-4D2F58138998}"/>
            </c:ext>
          </c:extLst>
        </c:ser>
        <c:ser>
          <c:idx val="3"/>
          <c:order val="3"/>
          <c:tx>
            <c:strRef>
              <c:f>'heat exchanger'!$E$13</c:f>
              <c:strCache>
                <c:ptCount val="1"/>
                <c:pt idx="0">
                  <c:v>tcold, counter</c:v>
                </c:pt>
              </c:strCache>
            </c:strRef>
          </c:tx>
          <c:xVal>
            <c:numRef>
              <c:f>'heat exchanger'!$F$9:$H$9</c:f>
              <c:numCache>
                <c:formatCode>0.00</c:formatCode>
                <c:ptCount val="3"/>
                <c:pt idx="0" formatCode="0">
                  <c:v>0</c:v>
                </c:pt>
                <c:pt idx="1">
                  <c:v>16943.564070993751</c:v>
                </c:pt>
                <c:pt idx="2">
                  <c:v>25081.591076717701</c:v>
                </c:pt>
              </c:numCache>
            </c:numRef>
          </c:xVal>
          <c:yVal>
            <c:numRef>
              <c:f>'heat exchanger'!$F$13:$H$13</c:f>
              <c:numCache>
                <c:formatCode>0.00</c:formatCode>
                <c:ptCount val="3"/>
                <c:pt idx="0">
                  <c:v>40.001903201815431</c:v>
                </c:pt>
                <c:pt idx="1">
                  <c:v>19.734482064263098</c:v>
                </c:pt>
                <c:pt idx="2" formatCode="General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D4-49B8-B4F0-4D2F5813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29920"/>
        <c:axId val="102931840"/>
      </c:scatterChart>
      <c:valAx>
        <c:axId val="1029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Power [W]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2931840"/>
        <c:crosses val="autoZero"/>
        <c:crossBetween val="midCat"/>
      </c:valAx>
      <c:valAx>
        <c:axId val="10293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{°C]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929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882462535328467"/>
          <c:y val="8.4153537591243346E-2"/>
          <c:w val="0.44382667075305976"/>
          <c:h val="0.262900298495054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12" Type="http://schemas.openxmlformats.org/officeDocument/2006/relationships/image" Target="../media/image21.emf"/><Relationship Id="rId17" Type="http://schemas.openxmlformats.org/officeDocument/2006/relationships/image" Target="../media/image26.emf"/><Relationship Id="rId2" Type="http://schemas.openxmlformats.org/officeDocument/2006/relationships/image" Target="../media/image11.emf"/><Relationship Id="rId16" Type="http://schemas.openxmlformats.org/officeDocument/2006/relationships/image" Target="../media/image25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11" Type="http://schemas.openxmlformats.org/officeDocument/2006/relationships/image" Target="../media/image20.emf"/><Relationship Id="rId5" Type="http://schemas.openxmlformats.org/officeDocument/2006/relationships/image" Target="../media/image14.emf"/><Relationship Id="rId15" Type="http://schemas.openxmlformats.org/officeDocument/2006/relationships/image" Target="../media/image24.emf"/><Relationship Id="rId10" Type="http://schemas.openxmlformats.org/officeDocument/2006/relationships/image" Target="../media/image19.emf"/><Relationship Id="rId19" Type="http://schemas.openxmlformats.org/officeDocument/2006/relationships/image" Target="../media/image28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Relationship Id="rId14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469282</xdr:colOff>
      <xdr:row>2</xdr:row>
      <xdr:rowOff>15591</xdr:rowOff>
    </xdr:from>
    <xdr:to>
      <xdr:col>10</xdr:col>
      <xdr:colOff>390939</xdr:colOff>
      <xdr:row>10</xdr:row>
      <xdr:rowOff>123167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52030" y="386652"/>
          <a:ext cx="418613" cy="1697837"/>
        </a:xfrm>
        <a:prstGeom prst="rect">
          <a:avLst/>
        </a:prstGeom>
        <a:pattFill prst="horzBrick">
          <a:fgClr>
            <a:schemeClr val="accent6">
              <a:lumMod val="75000"/>
            </a:schemeClr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386175</xdr:colOff>
      <xdr:row>2</xdr:row>
      <xdr:rowOff>17496</xdr:rowOff>
    </xdr:from>
    <xdr:to>
      <xdr:col>11</xdr:col>
      <xdr:colOff>119270</xdr:colOff>
      <xdr:row>10</xdr:row>
      <xdr:rowOff>123167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65879" y="388557"/>
          <a:ext cx="249930" cy="1695932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75251</xdr:colOff>
      <xdr:row>2</xdr:row>
      <xdr:rowOff>12775</xdr:rowOff>
    </xdr:from>
    <xdr:to>
      <xdr:col>9</xdr:col>
      <xdr:colOff>478863</xdr:colOff>
      <xdr:row>10</xdr:row>
      <xdr:rowOff>125895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57999" y="383836"/>
          <a:ext cx="403612" cy="1703381"/>
        </a:xfrm>
        <a:prstGeom prst="rect">
          <a:avLst/>
        </a:prstGeom>
        <a:pattFill prst="dotDmnd">
          <a:fgClr>
            <a:schemeClr val="bg2">
              <a:lumMod val="75000"/>
            </a:schemeClr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378054</xdr:colOff>
      <xdr:row>2</xdr:row>
      <xdr:rowOff>12230</xdr:rowOff>
    </xdr:from>
    <xdr:to>
      <xdr:col>9</xdr:col>
      <xdr:colOff>66261</xdr:colOff>
      <xdr:row>10</xdr:row>
      <xdr:rowOff>125895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917463" y="383291"/>
          <a:ext cx="231546" cy="1703926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49456</xdr:colOff>
      <xdr:row>2</xdr:row>
      <xdr:rowOff>93951</xdr:rowOff>
    </xdr:from>
    <xdr:to>
      <xdr:col>13</xdr:col>
      <xdr:colOff>1418</xdr:colOff>
      <xdr:row>8</xdr:row>
      <xdr:rowOff>56465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761281" y="465426"/>
          <a:ext cx="2669762" cy="1134089"/>
          <a:chOff x="5872301" y="2028943"/>
          <a:chExt cx="4101378" cy="1316841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485321" y="2808345"/>
            <a:ext cx="593658" cy="32902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el-GR" sz="1200">
                <a:latin typeface="Arial" panose="020B0604020202020204" pitchFamily="34" charset="0"/>
                <a:cs typeface="Arial" panose="020B0604020202020204" pitchFamily="34" charset="0"/>
              </a:rPr>
              <a:t>α</a:t>
            </a:r>
            <a:r>
              <a:rPr lang="de-DE" sz="1200" baseline="-25000"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endParaRPr lang="de-A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Rechteck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6758429" y="2028943"/>
            <a:ext cx="994667" cy="37621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120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de-DE" sz="1200" baseline="-25000"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endParaRPr lang="de-A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6775475" y="2773494"/>
            <a:ext cx="623760" cy="32930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1200">
                <a:latin typeface="Arial" panose="020B0604020202020204" pitchFamily="34" charset="0"/>
                <a:cs typeface="Arial" panose="020B0604020202020204" pitchFamily="34" charset="0"/>
              </a:rPr>
              <a:t>k</a:t>
            </a:r>
            <a:r>
              <a:rPr lang="de-DE" sz="1200" baseline="-25000"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endParaRPr lang="de-A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7410784" y="2033076"/>
            <a:ext cx="582959" cy="30705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120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de-AT" sz="1200" baseline="-25000">
                <a:latin typeface="Arial" panose="020B0604020202020204" pitchFamily="34" charset="0"/>
                <a:cs typeface="Arial" panose="020B0604020202020204" pitchFamily="34" charset="0"/>
              </a:rPr>
              <a:t>3</a:t>
            </a:r>
          </a:p>
        </xdr:txBody>
      </xdr:sp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386369" y="3021875"/>
            <a:ext cx="587310" cy="323909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de-AT" sz="1200"/>
          </a:p>
        </xdr:txBody>
      </xdr:sp>
      <xdr:sp macro="" textlink="">
        <xdr:nvSpPr>
          <xdr:cNvPr id="12" name="Rechteck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5872301" y="2797920"/>
            <a:ext cx="535684" cy="32930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el-GR" sz="1200">
                <a:latin typeface="Arial" panose="020B0604020202020204" pitchFamily="34" charset="0"/>
                <a:cs typeface="Arial" panose="020B0604020202020204" pitchFamily="34" charset="0"/>
              </a:rPr>
              <a:t>α</a:t>
            </a:r>
            <a:r>
              <a:rPr lang="de-DE" sz="1200" baseline="-25000">
                <a:latin typeface="Arial" panose="020B0604020202020204" pitchFamily="34" charset="0"/>
                <a:cs typeface="Arial" panose="020B0604020202020204" pitchFamily="34" charset="0"/>
              </a:rPr>
              <a:t>o</a:t>
            </a:r>
            <a:endParaRPr lang="de-A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10</xdr:col>
      <xdr:colOff>18780</xdr:colOff>
      <xdr:row>5</xdr:row>
      <xdr:rowOff>166740</xdr:rowOff>
    </xdr:from>
    <xdr:to>
      <xdr:col>10</xdr:col>
      <xdr:colOff>352985</xdr:colOff>
      <xdr:row>7</xdr:row>
      <xdr:rowOff>26504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598484" y="1120897"/>
          <a:ext cx="334205" cy="27720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k</a:t>
          </a:r>
          <a:r>
            <a:rPr lang="de-DE" sz="1200" baseline="-25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de-AT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369607</xdr:colOff>
      <xdr:row>5</xdr:row>
      <xdr:rowOff>167019</xdr:rowOff>
    </xdr:from>
    <xdr:to>
      <xdr:col>11</xdr:col>
      <xdr:colOff>265043</xdr:colOff>
      <xdr:row>7</xdr:row>
      <xdr:rowOff>46383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949311" y="1121176"/>
          <a:ext cx="412271" cy="29680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k</a:t>
          </a:r>
          <a:r>
            <a:rPr lang="de-DE" sz="1200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de-AT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328016</xdr:colOff>
      <xdr:row>5</xdr:row>
      <xdr:rowOff>157073</xdr:rowOff>
    </xdr:from>
    <xdr:to>
      <xdr:col>9</xdr:col>
      <xdr:colOff>432062</xdr:colOff>
      <xdr:row>8</xdr:row>
      <xdr:rowOff>73269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972531" y="1340078"/>
          <a:ext cx="492666" cy="45721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k</a:t>
          </a:r>
          <a:r>
            <a:rPr lang="de-DE" sz="1200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de-AT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331953</xdr:colOff>
      <xdr:row>2</xdr:row>
      <xdr:rowOff>89473</xdr:rowOff>
    </xdr:from>
    <xdr:to>
      <xdr:col>9</xdr:col>
      <xdr:colOff>273376</xdr:colOff>
      <xdr:row>4</xdr:row>
      <xdr:rowOff>25774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978373" y="693358"/>
          <a:ext cx="326233" cy="32873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s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10</xdr:col>
      <xdr:colOff>360118</xdr:colOff>
      <xdr:row>2</xdr:row>
      <xdr:rowOff>100150</xdr:rowOff>
    </xdr:from>
    <xdr:to>
      <xdr:col>11</xdr:col>
      <xdr:colOff>352704</xdr:colOff>
      <xdr:row>4</xdr:row>
      <xdr:rowOff>20102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939822" y="471211"/>
          <a:ext cx="509421" cy="31751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s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8</xdr:col>
      <xdr:colOff>45560</xdr:colOff>
      <xdr:row>3</xdr:row>
      <xdr:rowOff>88306</xdr:rowOff>
    </xdr:from>
    <xdr:to>
      <xdr:col>9</xdr:col>
      <xdr:colOff>73256</xdr:colOff>
      <xdr:row>7</xdr:row>
      <xdr:rowOff>81455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584969" y="658149"/>
          <a:ext cx="571035" cy="79490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T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lang="de-AT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l-GR" sz="1200" baseline="0">
              <a:latin typeface="Arial" panose="020B0604020202020204" pitchFamily="34" charset="0"/>
              <a:cs typeface="Arial" panose="020B0604020202020204" pitchFamily="34" charset="0"/>
            </a:rPr>
            <a:t>φ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</xdr:txBody>
    </xdr:sp>
    <xdr:clientData/>
  </xdr:twoCellAnchor>
  <xdr:twoCellAnchor>
    <xdr:from>
      <xdr:col>8</xdr:col>
      <xdr:colOff>127745</xdr:colOff>
      <xdr:row>11</xdr:row>
      <xdr:rowOff>51083</xdr:rowOff>
    </xdr:from>
    <xdr:to>
      <xdr:col>9</xdr:col>
      <xdr:colOff>246361</xdr:colOff>
      <xdr:row>13</xdr:row>
      <xdr:rowOff>68747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779880" y="2340893"/>
          <a:ext cx="499616" cy="34532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aseline="0">
              <a:latin typeface="Arial" panose="020B0604020202020204" pitchFamily="34" charset="0"/>
              <a:cs typeface="Arial" panose="020B0604020202020204" pitchFamily="34" charset="0"/>
            </a:rPr>
            <a:t>o/L1</a:t>
          </a:r>
        </a:p>
      </xdr:txBody>
    </xdr:sp>
    <xdr:clientData/>
  </xdr:twoCellAnchor>
  <xdr:twoCellAnchor>
    <xdr:from>
      <xdr:col>8</xdr:col>
      <xdr:colOff>306636</xdr:colOff>
      <xdr:row>12</xdr:row>
      <xdr:rowOff>122951</xdr:rowOff>
    </xdr:from>
    <xdr:to>
      <xdr:col>10</xdr:col>
      <xdr:colOff>86535</xdr:colOff>
      <xdr:row>13</xdr:row>
      <xdr:rowOff>130430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846045" y="2448708"/>
          <a:ext cx="820194" cy="15987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aseline="0">
              <a:latin typeface="Arial" panose="020B0604020202020204" pitchFamily="34" charset="0"/>
              <a:cs typeface="Arial" panose="020B0604020202020204" pitchFamily="34" charset="0"/>
            </a:rPr>
            <a:t>L1/L2</a:t>
          </a:r>
        </a:p>
      </xdr:txBody>
    </xdr:sp>
    <xdr:clientData/>
  </xdr:twoCellAnchor>
  <xdr:twoCellAnchor>
    <xdr:from>
      <xdr:col>9</xdr:col>
      <xdr:colOff>204497</xdr:colOff>
      <xdr:row>11</xdr:row>
      <xdr:rowOff>102436</xdr:rowOff>
    </xdr:from>
    <xdr:to>
      <xdr:col>10</xdr:col>
      <xdr:colOff>425231</xdr:colOff>
      <xdr:row>13</xdr:row>
      <xdr:rowOff>130149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6287245" y="2269166"/>
          <a:ext cx="717690" cy="33914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aseline="0">
              <a:latin typeface="Arial" panose="020B0604020202020204" pitchFamily="34" charset="0"/>
              <a:cs typeface="Arial" panose="020B0604020202020204" pitchFamily="34" charset="0"/>
            </a:rPr>
            <a:t>L2/L3</a:t>
          </a:r>
        </a:p>
      </xdr:txBody>
    </xdr:sp>
    <xdr:clientData/>
  </xdr:twoCellAnchor>
  <xdr:twoCellAnchor>
    <xdr:from>
      <xdr:col>10</xdr:col>
      <xdr:colOff>133015</xdr:colOff>
      <xdr:row>12</xdr:row>
      <xdr:rowOff>142831</xdr:rowOff>
    </xdr:from>
    <xdr:to>
      <xdr:col>11</xdr:col>
      <xdr:colOff>271478</xdr:colOff>
      <xdr:row>13</xdr:row>
      <xdr:rowOff>155126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712719" y="2468588"/>
          <a:ext cx="655298" cy="16469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aseline="0">
              <a:latin typeface="Arial" panose="020B0604020202020204" pitchFamily="34" charset="0"/>
              <a:cs typeface="Arial" panose="020B0604020202020204" pitchFamily="34" charset="0"/>
            </a:rPr>
            <a:t>L3/L4</a:t>
          </a:r>
        </a:p>
      </xdr:txBody>
    </xdr:sp>
    <xdr:clientData/>
  </xdr:twoCellAnchor>
  <xdr:twoCellAnchor>
    <xdr:from>
      <xdr:col>10</xdr:col>
      <xdr:colOff>465198</xdr:colOff>
      <xdr:row>11</xdr:row>
      <xdr:rowOff>48345</xdr:rowOff>
    </xdr:from>
    <xdr:to>
      <xdr:col>12</xdr:col>
      <xdr:colOff>11387</xdr:colOff>
      <xdr:row>13</xdr:row>
      <xdr:rowOff>70343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44902" y="2215075"/>
          <a:ext cx="639494" cy="3334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aseline="0">
              <a:latin typeface="Arial" panose="020B0604020202020204" pitchFamily="34" charset="0"/>
              <a:cs typeface="Arial" panose="020B0604020202020204" pitchFamily="34" charset="0"/>
            </a:rPr>
            <a:t>L4/i</a:t>
          </a:r>
        </a:p>
      </xdr:txBody>
    </xdr:sp>
    <xdr:clientData/>
  </xdr:twoCellAnchor>
  <xdr:twoCellAnchor>
    <xdr:from>
      <xdr:col>8</xdr:col>
      <xdr:colOff>292629</xdr:colOff>
      <xdr:row>0</xdr:row>
      <xdr:rowOff>125950</xdr:rowOff>
    </xdr:from>
    <xdr:to>
      <xdr:col>9</xdr:col>
      <xdr:colOff>259530</xdr:colOff>
      <xdr:row>1</xdr:row>
      <xdr:rowOff>84893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765174" y="125950"/>
          <a:ext cx="351050" cy="13527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L</a:t>
          </a:r>
          <a:r>
            <a:rPr lang="de-AT" sz="1200" b="1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9</xdr:col>
      <xdr:colOff>102108</xdr:colOff>
      <xdr:row>0</xdr:row>
      <xdr:rowOff>125949</xdr:rowOff>
    </xdr:from>
    <xdr:to>
      <xdr:col>9</xdr:col>
      <xdr:colOff>483352</xdr:colOff>
      <xdr:row>1</xdr:row>
      <xdr:rowOff>89193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184856" y="125949"/>
          <a:ext cx="381244" cy="13552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L</a:t>
          </a:r>
          <a:r>
            <a:rPr lang="de-AT" sz="1200" b="1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40411</xdr:colOff>
      <xdr:row>0</xdr:row>
      <xdr:rowOff>125950</xdr:rowOff>
    </xdr:from>
    <xdr:to>
      <xdr:col>10</xdr:col>
      <xdr:colOff>384483</xdr:colOff>
      <xdr:row>1</xdr:row>
      <xdr:rowOff>93918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620115" y="125950"/>
          <a:ext cx="344072" cy="14024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L</a:t>
          </a:r>
          <a:r>
            <a:rPr lang="de-AT" sz="1200" b="1" baseline="-250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10</xdr:col>
      <xdr:colOff>380242</xdr:colOff>
      <xdr:row>0</xdr:row>
      <xdr:rowOff>125950</xdr:rowOff>
    </xdr:from>
    <xdr:to>
      <xdr:col>11</xdr:col>
      <xdr:colOff>294739</xdr:colOff>
      <xdr:row>1</xdr:row>
      <xdr:rowOff>93091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709250" y="125950"/>
          <a:ext cx="361621" cy="1434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L</a:t>
          </a:r>
          <a:r>
            <a:rPr lang="de-AT" sz="1200" b="1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7</xdr:col>
      <xdr:colOff>381902</xdr:colOff>
      <xdr:row>0</xdr:row>
      <xdr:rowOff>31459</xdr:rowOff>
    </xdr:from>
    <xdr:to>
      <xdr:col>8</xdr:col>
      <xdr:colOff>526918</xdr:colOff>
      <xdr:row>2</xdr:row>
      <xdr:rowOff>59634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371345" y="31459"/>
          <a:ext cx="694982" cy="39923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ctr"/>
          <a:r>
            <a:rPr lang="de-AT" sz="1200" b="1">
              <a:latin typeface="+mn-lt"/>
            </a:rPr>
            <a:t>Out-side</a:t>
          </a:r>
        </a:p>
        <a:p>
          <a:pPr algn="ctr"/>
          <a:endParaRPr lang="de-AT" sz="1200" baseline="-25000"/>
        </a:p>
      </xdr:txBody>
    </xdr:sp>
    <xdr:clientData/>
  </xdr:twoCellAnchor>
  <xdr:twoCellAnchor>
    <xdr:from>
      <xdr:col>11</xdr:col>
      <xdr:colOff>169979</xdr:colOff>
      <xdr:row>0</xdr:row>
      <xdr:rowOff>33335</xdr:rowOff>
    </xdr:from>
    <xdr:to>
      <xdr:col>12</xdr:col>
      <xdr:colOff>79698</xdr:colOff>
      <xdr:row>1</xdr:row>
      <xdr:rowOff>0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946111" y="33335"/>
          <a:ext cx="489091" cy="20079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ctr"/>
          <a:r>
            <a:rPr lang="de-AT" sz="1200" b="1" kern="1200">
              <a:solidFill>
                <a:schemeClr val="tx1"/>
              </a:solidFill>
              <a:latin typeface="+mn-lt"/>
              <a:ea typeface="+mn-ea"/>
              <a:cs typeface="+mn-cs"/>
            </a:rPr>
            <a:t>In-side</a:t>
          </a:r>
        </a:p>
        <a:p>
          <a:pPr algn="ctr"/>
          <a:endParaRPr lang="de-AT" sz="1200" baseline="-25000"/>
        </a:p>
      </xdr:txBody>
    </xdr:sp>
    <xdr:clientData/>
  </xdr:twoCellAnchor>
  <xdr:oneCellAnchor>
    <xdr:from>
      <xdr:col>9</xdr:col>
      <xdr:colOff>3586</xdr:colOff>
      <xdr:row>3</xdr:row>
      <xdr:rowOff>57598</xdr:rowOff>
    </xdr:from>
    <xdr:ext cx="245529" cy="264560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6032911" y="853888"/>
          <a:ext cx="2455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11</xdr:col>
      <xdr:colOff>118311</xdr:colOff>
      <xdr:row>10</xdr:row>
      <xdr:rowOff>106863</xdr:rowOff>
    </xdr:from>
    <xdr:to>
      <xdr:col>11</xdr:col>
      <xdr:colOff>122784</xdr:colOff>
      <xdr:row>11</xdr:row>
      <xdr:rowOff>53357</xdr:rowOff>
    </xdr:to>
    <xdr:cxnSp macro="">
      <xdr:nvCxnSpPr>
        <xdr:cNvPr id="33" name="Gerader Verbinde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7214850" y="2068185"/>
          <a:ext cx="4473" cy="1519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490330</xdr:colOff>
      <xdr:row>10</xdr:row>
      <xdr:rowOff>119269</xdr:rowOff>
    </xdr:from>
    <xdr:to>
      <xdr:col>9</xdr:col>
      <xdr:colOff>490330</xdr:colOff>
      <xdr:row>11</xdr:row>
      <xdr:rowOff>106018</xdr:rowOff>
    </xdr:to>
    <xdr:cxnSp macro="">
      <xdr:nvCxnSpPr>
        <xdr:cNvPr id="34" name="Gerader Verbinde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6573078" y="2080591"/>
          <a:ext cx="0" cy="192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397566</xdr:colOff>
      <xdr:row>10</xdr:row>
      <xdr:rowOff>145774</xdr:rowOff>
    </xdr:from>
    <xdr:to>
      <xdr:col>10</xdr:col>
      <xdr:colOff>440247</xdr:colOff>
      <xdr:row>12</xdr:row>
      <xdr:rowOff>122389</xdr:rowOff>
    </xdr:to>
    <xdr:cxnSp macro="">
      <xdr:nvCxnSpPr>
        <xdr:cNvPr id="35" name="Gerader Verbinde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6977270" y="2107096"/>
          <a:ext cx="42681" cy="34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26506</xdr:colOff>
      <xdr:row>10</xdr:row>
      <xdr:rowOff>112643</xdr:rowOff>
    </xdr:from>
    <xdr:to>
      <xdr:col>9</xdr:col>
      <xdr:colOff>79513</xdr:colOff>
      <xdr:row>12</xdr:row>
      <xdr:rowOff>119269</xdr:rowOff>
    </xdr:to>
    <xdr:cxnSp macro="">
      <xdr:nvCxnSpPr>
        <xdr:cNvPr id="36" name="Gerader Verbinde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109254" y="2073965"/>
          <a:ext cx="53007" cy="3710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372287</xdr:colOff>
      <xdr:row>10</xdr:row>
      <xdr:rowOff>119623</xdr:rowOff>
    </xdr:from>
    <xdr:to>
      <xdr:col>8</xdr:col>
      <xdr:colOff>372814</xdr:colOff>
      <xdr:row>11</xdr:row>
      <xdr:rowOff>67072</xdr:rowOff>
    </xdr:to>
    <xdr:cxnSp macro="">
      <xdr:nvCxnSpPr>
        <xdr:cNvPr id="37" name="Gerader Verbinde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H="1">
          <a:off x="5890771" y="2072749"/>
          <a:ext cx="527" cy="1519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47465</xdr:colOff>
      <xdr:row>8</xdr:row>
      <xdr:rowOff>163097</xdr:rowOff>
    </xdr:from>
    <xdr:to>
      <xdr:col>9</xdr:col>
      <xdr:colOff>16546</xdr:colOff>
      <xdr:row>10</xdr:row>
      <xdr:rowOff>57407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5586874" y="1726854"/>
          <a:ext cx="512420" cy="29187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8</xdr:col>
      <xdr:colOff>322006</xdr:colOff>
      <xdr:row>8</xdr:row>
      <xdr:rowOff>171282</xdr:rowOff>
    </xdr:from>
    <xdr:to>
      <xdr:col>9</xdr:col>
      <xdr:colOff>406801</xdr:colOff>
      <xdr:row>10</xdr:row>
      <xdr:rowOff>74570</xdr:rowOff>
    </xdr:to>
    <xdr:sp macro="" textlink="">
      <xdr:nvSpPr>
        <xdr:cNvPr id="39" name="Rechtec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861415" y="1735039"/>
          <a:ext cx="628134" cy="30085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9</xdr:col>
      <xdr:colOff>103329</xdr:colOff>
      <xdr:row>8</xdr:row>
      <xdr:rowOff>172278</xdr:rowOff>
    </xdr:from>
    <xdr:to>
      <xdr:col>9</xdr:col>
      <xdr:colOff>486572</xdr:colOff>
      <xdr:row>10</xdr:row>
      <xdr:rowOff>89267</xdr:rowOff>
    </xdr:to>
    <xdr:sp macro="" textlink="">
      <xdr:nvSpPr>
        <xdr:cNvPr id="40" name="Rechteck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6186077" y="1736035"/>
          <a:ext cx="383243" cy="31455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50380</xdr:colOff>
      <xdr:row>9</xdr:row>
      <xdr:rowOff>0</xdr:rowOff>
    </xdr:from>
    <xdr:to>
      <xdr:col>11</xdr:col>
      <xdr:colOff>12934</xdr:colOff>
      <xdr:row>10</xdr:row>
      <xdr:rowOff>97349</xdr:rowOff>
    </xdr:to>
    <xdr:sp macro="" textlink="">
      <xdr:nvSpPr>
        <xdr:cNvPr id="41" name="Rechteck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379388" y="1668843"/>
          <a:ext cx="409678" cy="31146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10</xdr:col>
      <xdr:colOff>344268</xdr:colOff>
      <xdr:row>8</xdr:row>
      <xdr:rowOff>176751</xdr:rowOff>
    </xdr:from>
    <xdr:to>
      <xdr:col>11</xdr:col>
      <xdr:colOff>404299</xdr:colOff>
      <xdr:row>10</xdr:row>
      <xdr:rowOff>103266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6923972" y="1740508"/>
          <a:ext cx="576866" cy="32408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207332</xdr:colOff>
      <xdr:row>8</xdr:row>
      <xdr:rowOff>178905</xdr:rowOff>
    </xdr:from>
    <xdr:to>
      <xdr:col>12</xdr:col>
      <xdr:colOff>28149</xdr:colOff>
      <xdr:row>10</xdr:row>
      <xdr:rowOff>127192</xdr:rowOff>
    </xdr:to>
    <xdr:sp macro="" textlink="">
      <xdr:nvSpPr>
        <xdr:cNvPr id="43" name="Rechteck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7164392" y="1899120"/>
          <a:ext cx="396127" cy="34643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i</a:t>
          </a:r>
        </a:p>
      </xdr:txBody>
    </xdr:sp>
    <xdr:clientData/>
  </xdr:twoCellAnchor>
  <xdr:twoCellAnchor>
    <xdr:from>
      <xdr:col>11</xdr:col>
      <xdr:colOff>566776</xdr:colOff>
      <xdr:row>0</xdr:row>
      <xdr:rowOff>0</xdr:rowOff>
    </xdr:from>
    <xdr:to>
      <xdr:col>19</xdr:col>
      <xdr:colOff>114548</xdr:colOff>
      <xdr:row>8</xdr:row>
      <xdr:rowOff>37850</xdr:rowOff>
    </xdr:to>
    <xdr:graphicFrame macro="">
      <xdr:nvGraphicFramePr>
        <xdr:cNvPr id="44" name="Diagramm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6630</xdr:colOff>
      <xdr:row>8</xdr:row>
      <xdr:rowOff>44037</xdr:rowOff>
    </xdr:from>
    <xdr:to>
      <xdr:col>19</xdr:col>
      <xdr:colOff>132521</xdr:colOff>
      <xdr:row>16</xdr:row>
      <xdr:rowOff>208223</xdr:rowOff>
    </xdr:to>
    <xdr:graphicFrame macro="">
      <xdr:nvGraphicFramePr>
        <xdr:cNvPr id="45" name="Diagramm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579547</xdr:colOff>
      <xdr:row>26</xdr:row>
      <xdr:rowOff>76364</xdr:rowOff>
    </xdr:from>
    <xdr:to>
      <xdr:col>20</xdr:col>
      <xdr:colOff>79954</xdr:colOff>
      <xdr:row>43</xdr:row>
      <xdr:rowOff>133114</xdr:rowOff>
    </xdr:to>
    <xdr:graphicFrame macro="">
      <xdr:nvGraphicFramePr>
        <xdr:cNvPr id="46" name="Diagramm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180148</xdr:colOff>
      <xdr:row>3</xdr:row>
      <xdr:rowOff>136391</xdr:rowOff>
    </xdr:from>
    <xdr:to>
      <xdr:col>11</xdr:col>
      <xdr:colOff>515874</xdr:colOff>
      <xdr:row>7</xdr:row>
      <xdr:rowOff>129540</xdr:rowOff>
    </xdr:to>
    <xdr:sp macro="" textlink="">
      <xdr:nvSpPr>
        <xdr:cNvPr id="47" name="Rechteck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7276687" y="706234"/>
          <a:ext cx="335726" cy="79490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de-AT" sz="1200">
              <a:latin typeface="Arial" panose="020B0604020202020204" pitchFamily="34" charset="0"/>
              <a:cs typeface="Arial" panose="020B0604020202020204" pitchFamily="34" charset="0"/>
            </a:rPr>
            <a:t>T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i</a:t>
          </a:r>
          <a:endParaRPr lang="de-AT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l-GR" sz="1200" baseline="0">
              <a:latin typeface="Arial" panose="020B0604020202020204" pitchFamily="34" charset="0"/>
              <a:cs typeface="Arial" panose="020B0604020202020204" pitchFamily="34" charset="0"/>
            </a:rPr>
            <a:t>φ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i</a:t>
          </a:r>
        </a:p>
      </xdr:txBody>
    </xdr:sp>
    <xdr:clientData/>
  </xdr:twoCellAnchor>
  <xdr:twoCellAnchor>
    <xdr:from>
      <xdr:col>8</xdr:col>
      <xdr:colOff>48166</xdr:colOff>
      <xdr:row>7</xdr:row>
      <xdr:rowOff>22057</xdr:rowOff>
    </xdr:from>
    <xdr:to>
      <xdr:col>9</xdr:col>
      <xdr:colOff>15049</xdr:colOff>
      <xdr:row>8</xdr:row>
      <xdr:rowOff>74306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5587575" y="1393657"/>
          <a:ext cx="510222" cy="24440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8</xdr:col>
      <xdr:colOff>325608</xdr:colOff>
      <xdr:row>7</xdr:row>
      <xdr:rowOff>36007</xdr:rowOff>
    </xdr:from>
    <xdr:to>
      <xdr:col>9</xdr:col>
      <xdr:colOff>410403</xdr:colOff>
      <xdr:row>8</xdr:row>
      <xdr:rowOff>121188</xdr:rowOff>
    </xdr:to>
    <xdr:sp macro="" textlink="">
      <xdr:nvSpPr>
        <xdr:cNvPr id="49" name="Rechteck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865017" y="1407607"/>
          <a:ext cx="628134" cy="27733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9</xdr:col>
      <xdr:colOff>95634</xdr:colOff>
      <xdr:row>7</xdr:row>
      <xdr:rowOff>30146</xdr:rowOff>
    </xdr:from>
    <xdr:to>
      <xdr:col>9</xdr:col>
      <xdr:colOff>476147</xdr:colOff>
      <xdr:row>8</xdr:row>
      <xdr:rowOff>76409</xdr:rowOff>
    </xdr:to>
    <xdr:sp macro="" textlink="">
      <xdr:nvSpPr>
        <xdr:cNvPr id="50" name="Rechteck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6178382" y="1401746"/>
          <a:ext cx="380513" cy="23842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50121</xdr:colOff>
      <xdr:row>7</xdr:row>
      <xdr:rowOff>31984</xdr:rowOff>
    </xdr:from>
    <xdr:to>
      <xdr:col>10</xdr:col>
      <xdr:colOff>387683</xdr:colOff>
      <xdr:row>8</xdr:row>
      <xdr:rowOff>74676</xdr:rowOff>
    </xdr:to>
    <xdr:sp macro="" textlink="">
      <xdr:nvSpPr>
        <xdr:cNvPr id="51" name="Rechteck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6629825" y="1403584"/>
          <a:ext cx="337562" cy="2348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10</xdr:col>
      <xdr:colOff>363601</xdr:colOff>
      <xdr:row>7</xdr:row>
      <xdr:rowOff>19686</xdr:rowOff>
    </xdr:from>
    <xdr:to>
      <xdr:col>11</xdr:col>
      <xdr:colOff>218661</xdr:colOff>
      <xdr:row>8</xdr:row>
      <xdr:rowOff>60233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943305" y="1391286"/>
          <a:ext cx="371895" cy="23270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193650</xdr:colOff>
      <xdr:row>7</xdr:row>
      <xdr:rowOff>28766</xdr:rowOff>
    </xdr:from>
    <xdr:to>
      <xdr:col>12</xdr:col>
      <xdr:colOff>10657</xdr:colOff>
      <xdr:row>8</xdr:row>
      <xdr:rowOff>89451</xdr:rowOff>
    </xdr:to>
    <xdr:sp macro="" textlink="">
      <xdr:nvSpPr>
        <xdr:cNvPr id="53" name="Rechteck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7146900" y="1560386"/>
          <a:ext cx="399937" cy="25690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l-GR" sz="1200">
              <a:latin typeface="Arial" panose="020B0604020202020204" pitchFamily="34" charset="0"/>
              <a:cs typeface="Arial" panose="020B0604020202020204" pitchFamily="34" charset="0"/>
            </a:rPr>
            <a:t>μ</a:t>
          </a:r>
          <a:r>
            <a:rPr lang="de-AT" sz="1200" baseline="-25000">
              <a:latin typeface="Arial" panose="020B0604020202020204" pitchFamily="34" charset="0"/>
              <a:cs typeface="Arial" panose="020B0604020202020204" pitchFamily="34" charset="0"/>
            </a:rPr>
            <a:t>i</a:t>
          </a:r>
        </a:p>
      </xdr:txBody>
    </xdr:sp>
    <xdr:clientData/>
  </xdr:twoCellAnchor>
  <xdr:twoCellAnchor>
    <xdr:from>
      <xdr:col>13</xdr:col>
      <xdr:colOff>114637</xdr:colOff>
      <xdr:row>9</xdr:row>
      <xdr:rowOff>73390</xdr:rowOff>
    </xdr:from>
    <xdr:to>
      <xdr:col>18</xdr:col>
      <xdr:colOff>331306</xdr:colOff>
      <xdr:row>10</xdr:row>
      <xdr:rowOff>157823</xdr:rowOff>
    </xdr:to>
    <xdr:sp macro="" textlink="">
      <xdr:nvSpPr>
        <xdr:cNvPr id="55" name="Textfeld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8397246" y="1822677"/>
          <a:ext cx="3198408" cy="2964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AT" sz="1000"/>
            <a:t>(c)</a:t>
          </a:r>
          <a:r>
            <a:rPr lang="de-AT" sz="1000" baseline="0"/>
            <a:t> Unit </a:t>
          </a:r>
          <a:r>
            <a:rPr lang="de-AT" sz="1000"/>
            <a:t>Energy Efficient</a:t>
          </a:r>
          <a:r>
            <a:rPr lang="de-AT" sz="1000" baseline="0"/>
            <a:t> </a:t>
          </a:r>
          <a:r>
            <a:rPr lang="de-AT" sz="900" baseline="0"/>
            <a:t>Building</a:t>
          </a:r>
          <a:r>
            <a:rPr lang="de-AT" sz="1000" baseline="0"/>
            <a:t>,</a:t>
          </a:r>
          <a:r>
            <a:rPr lang="de-AT" sz="1000"/>
            <a:t> University of Innsbruck </a:t>
          </a:r>
        </a:p>
      </xdr:txBody>
    </xdr:sp>
    <xdr:clientData/>
  </xdr:twoCellAnchor>
  <xdr:twoCellAnchor>
    <xdr:from>
      <xdr:col>13</xdr:col>
      <xdr:colOff>151834</xdr:colOff>
      <xdr:row>28</xdr:row>
      <xdr:rowOff>41662</xdr:rowOff>
    </xdr:from>
    <xdr:to>
      <xdr:col>18</xdr:col>
      <xdr:colOff>335778</xdr:colOff>
      <xdr:row>30</xdr:row>
      <xdr:rowOff>14044</xdr:rowOff>
    </xdr:to>
    <xdr:sp macro="" textlink="">
      <xdr:nvSpPr>
        <xdr:cNvPr id="56" name="Textfeld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8442725" y="4886988"/>
          <a:ext cx="3149118" cy="23742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AT" sz="1000"/>
            <a:t>(c)</a:t>
          </a:r>
          <a:r>
            <a:rPr lang="de-AT" sz="1000" baseline="0"/>
            <a:t> Unit </a:t>
          </a:r>
          <a:r>
            <a:rPr lang="de-AT" sz="1000"/>
            <a:t>Energy Efficient</a:t>
          </a:r>
          <a:r>
            <a:rPr lang="de-AT" sz="1000" baseline="0"/>
            <a:t> Building,</a:t>
          </a:r>
          <a:r>
            <a:rPr lang="de-AT" sz="1000"/>
            <a:t> University of Innsbruck </a:t>
          </a:r>
        </a:p>
      </xdr:txBody>
    </xdr:sp>
    <xdr:clientData/>
  </xdr:twoCellAnchor>
  <xdr:twoCellAnchor>
    <xdr:from>
      <xdr:col>9</xdr:col>
      <xdr:colOff>90354</xdr:colOff>
      <xdr:row>13</xdr:row>
      <xdr:rowOff>156362</xdr:rowOff>
    </xdr:from>
    <xdr:to>
      <xdr:col>10</xdr:col>
      <xdr:colOff>490331</xdr:colOff>
      <xdr:row>16</xdr:row>
      <xdr:rowOff>72888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6173102" y="2634519"/>
          <a:ext cx="896933" cy="42010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ctr"/>
          <a:r>
            <a:rPr lang="de-AT" sz="1400" b="1">
              <a:latin typeface="+mn-lt"/>
            </a:rPr>
            <a:t>Position</a:t>
          </a:r>
        </a:p>
        <a:p>
          <a:pPr algn="ctr"/>
          <a:endParaRPr lang="de-AT" sz="1400" baseline="-25000"/>
        </a:p>
      </xdr:txBody>
    </xdr:sp>
    <xdr:clientData/>
  </xdr:twoCellAnchor>
  <xdr:twoCellAnchor>
    <xdr:from>
      <xdr:col>12</xdr:col>
      <xdr:colOff>6626</xdr:colOff>
      <xdr:row>16</xdr:row>
      <xdr:rowOff>168467</xdr:rowOff>
    </xdr:from>
    <xdr:to>
      <xdr:col>19</xdr:col>
      <xdr:colOff>152400</xdr:colOff>
      <xdr:row>25</xdr:row>
      <xdr:rowOff>95580</xdr:rowOff>
    </xdr:to>
    <xdr:graphicFrame macro="">
      <xdr:nvGraphicFramePr>
        <xdr:cNvPr id="54" name="Diagramm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505577</xdr:colOff>
      <xdr:row>23</xdr:row>
      <xdr:rowOff>146276</xdr:rowOff>
    </xdr:from>
    <xdr:to>
      <xdr:col>15</xdr:col>
      <xdr:colOff>125897</xdr:colOff>
      <xdr:row>25</xdr:row>
      <xdr:rowOff>78309</xdr:rowOff>
    </xdr:to>
    <xdr:sp macro="" textlink="">
      <xdr:nvSpPr>
        <xdr:cNvPr id="59" name="Textfeld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7675003" y="4227946"/>
          <a:ext cx="1767172" cy="2964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AT" sz="900"/>
            <a:t>(c)</a:t>
          </a:r>
          <a:r>
            <a:rPr lang="de-AT" sz="900" baseline="0"/>
            <a:t> Unit </a:t>
          </a:r>
          <a:r>
            <a:rPr lang="de-AT" sz="900"/>
            <a:t>Energy Efficient</a:t>
          </a:r>
          <a:r>
            <a:rPr lang="de-AT" sz="900" baseline="0"/>
            <a:t> Building</a:t>
          </a:r>
        </a:p>
        <a:p>
          <a:r>
            <a:rPr lang="de-AT" sz="900"/>
            <a:t> University of Innsbruck </a:t>
          </a:r>
        </a:p>
      </xdr:txBody>
    </xdr:sp>
    <xdr:clientData/>
  </xdr:twoCellAnchor>
  <xdr:twoCellAnchor>
    <xdr:from>
      <xdr:col>20</xdr:col>
      <xdr:colOff>388620</xdr:colOff>
      <xdr:row>0</xdr:row>
      <xdr:rowOff>167640</xdr:rowOff>
    </xdr:from>
    <xdr:to>
      <xdr:col>27</xdr:col>
      <xdr:colOff>737477</xdr:colOff>
      <xdr:row>13</xdr:row>
      <xdr:rowOff>11641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Object 2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12580620" y="167640"/>
              <a:ext cx="5091650" cy="230736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acc>
                      <m:accPr>
                        <m:chr m:val="̇"/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</m:acc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𝑈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𝐴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Δ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𝑡𝑜𝑡𝑎𝑙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𝐴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𝑤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𝐴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−1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e>
                    </m:d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de-A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𝐴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𝑤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e>
                    </m:d>
                  </m:oMath>
                  <m:oMath xmlns:m="http://schemas.openxmlformats.org/officeDocument/2006/math">
                    <m:r>
                      <m:rPr>
                        <m:sty m:val="p"/>
                      </m:rP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Δ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𝑡𝑜𝑡𝑎𝑙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den>
                    </m:f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𝑤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−1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e>
                    </m:d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f>
                          <m:f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A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  <m:sub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den>
                        </m:f>
                      </m:den>
                    </m:f>
                    <m:d>
                      <m:d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𝑤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e>
                    </m:d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den>
                    </m:f>
                  </m:oMath>
                  <m:oMath xmlns:m="http://schemas.openxmlformats.org/officeDocument/2006/math">
                    <m:r>
                      <m:rPr>
                        <m:sty m:val="p"/>
                      </m:rP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Δ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𝑡𝑜𝑡𝑎𝑙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m:rPr>
                            <m:sty m:val="p"/>
                          </m:r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</m:nary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nary>
                          <m:naryPr>
                            <m:chr m:val="∑"/>
                            <m:supHide m:val="on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  <m:sup/>
                          <m:e>
                            <m:f>
                              <m:fPr>
                                <m:ctrlP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de-AT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AT" b="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de-AT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de-AT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AT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𝑠</m:t>
                                    </m:r>
                                  </m:e>
                                  <m:sub>
                                    <m:r>
                                      <a:rPr lang="de-AT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sub>
                                </m:sSub>
                              </m:den>
                            </m:f>
                          </m:e>
                        </m:nary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̇"/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</m:acc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</m:sSub>
                      </m:den>
                    </m:f>
                  </m:oMath>
                  <m:oMath xmlns:m="http://schemas.openxmlformats.org/officeDocument/2006/math"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den>
                    </m:f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nor/>
                      </m:rP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 </m:t>
                    </m:r>
                    <m:nary>
                      <m:naryPr>
                        <m:chr m:val="∑"/>
                        <m:supHide m:val="on"/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  <m:sup/>
                      <m:e>
                        <m:f>
                          <m:f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  <m:sub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A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de-A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den>
                        </m:f>
                      </m:e>
                    </m:nary>
                    <m: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de-A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</m:sSub>
                      </m:den>
                    </m:f>
                    <m:r>
                      <m:rPr>
                        <m:nor/>
                      </m:rP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  </m:t>
                    </m:r>
                  </m:oMath>
                  <m:oMath xmlns:m="http://schemas.openxmlformats.org/officeDocument/2006/math"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𝑅</m:t>
                    </m:r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de-A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supHide m:val="on"/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b>
                            <m:r>
                              <a:rPr lang="de-A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e>
                    </m:nary>
                    <m: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 </m:t>
                    </m:r>
                    <m:sSub>
                      <m:sSubPr>
                        <m:ctrlP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A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de-AT" i="0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a</m:t>
                        </m:r>
                      </m:sub>
                    </m:sSub>
                    <m:r>
                      <a:rPr lang="de-AT" i="0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AT"/>
            </a:p>
          </xdr:txBody>
        </xdr:sp>
      </mc:Choice>
      <mc:Fallback xmlns="">
        <xdr:sp macro="" textlink="">
          <xdr:nvSpPr>
            <xdr:cNvPr id="19" name="Object 2">
              <a:extLst>
                <a:ext uri="{63B3BB69-23CF-44E3-9099-C40C66FF867C}">
                  <a14:compatExt xmlns:a14="http://schemas.microsoft.com/office/drawing/2010/main" spid="_x0000_s33793"/>
                </a:ex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12580620" y="167640"/>
              <a:ext cx="5091650" cy="230736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 ̇=𝑈⋅𝐴⋅Δ𝑇_𝑡𝑜𝑡𝑎𝑙=𝛼_𝑖⋅𝐴⋅(𝑡_𝑖−𝑡_(𝑤,𝑖) )=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𝑘_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𝑛/𝑠_𝑛  𝐴⋅(𝑡_(𝑛−1)−𝑡_𝑛 )=𝛼_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0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⋅𝐴⋅(𝑡_(𝑤,𝑎)−𝑡_𝑎 )</a:t>
              </a:r>
              <a:br>
                <a:rPr lang="de-AT" i="1">
                  <a:solidFill>
                    <a:srgbClr val="000000"/>
                  </a:solidFill>
                  <a:latin typeface="Cambria Math" panose="02040503050406030204" pitchFamily="18" charset="0"/>
                </a:rPr>
              </a:b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Δ𝑇_𝑡𝑜𝑡𝑎𝑙=𝑄 ̇/𝑈 (𝑡_𝑖−𝑡_(𝑤,𝑖) )=𝑄 ̇/𝛼_𝑖  (𝑡_(𝑛−1)−𝑡_𝑛 )=𝑄 ̇/(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𝑘_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𝑛/𝑠_𝑛 ) (𝑡_(𝑤,𝑎)−𝑡_𝑎 )=𝑄 ̇/𝛼_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0 </a:t>
              </a:r>
              <a:br>
                <a:rPr lang="de-AT" i="1">
                  <a:solidFill>
                    <a:srgbClr val="000000"/>
                  </a:solidFill>
                  <a:latin typeface="Cambria Math" panose="02040503050406030204" pitchFamily="18" charset="0"/>
                </a:rPr>
              </a:b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Δ𝑇_𝑡𝑜𝑡𝑎𝑙=∑▒Δ𝑇  𝑄 ̇/𝑈=𝑄 ̇/𝛼_𝑖 +𝑄 ̇/(∑_𝑛▒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𝑘_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𝑛/𝑠_𝑛 )+𝑄 ̇/𝛼_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𝑜 </a:t>
              </a:r>
              <a:br>
                <a:rPr lang="de-AT" i="1">
                  <a:solidFill>
                    <a:srgbClr val="000000"/>
                  </a:solidFill>
                  <a:latin typeface="Cambria Math" panose="02040503050406030204" pitchFamily="18" charset="0"/>
                </a:rPr>
              </a:b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1/𝑈=1/𝛼_𝑖 +"  " ∑_𝑛▒𝑠_𝑛/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𝑘_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   +  1/𝛼_</a:t>
              </a:r>
              <a:r>
                <a:rPr lang="de-A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𝑜  "</a:t>
              </a: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   "</a:t>
              </a:r>
              <a:b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</a:br>
              <a:r>
                <a:rPr lang="de-A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𝑅=𝑅_𝑖+∑_𝑛▒𝑅_𝑛   "+ " 𝑅_a  </a:t>
              </a:r>
              <a:endParaRPr lang="de-AT"/>
            </a:p>
          </xdr:txBody>
        </xdr:sp>
      </mc:Fallback>
    </mc:AlternateContent>
    <xdr:clientData/>
  </xdr:twoCellAnchor>
  <xdr:twoCellAnchor>
    <xdr:from>
      <xdr:col>15</xdr:col>
      <xdr:colOff>493651</xdr:colOff>
      <xdr:row>44</xdr:row>
      <xdr:rowOff>142822</xdr:rowOff>
    </xdr:from>
    <xdr:to>
      <xdr:col>23</xdr:col>
      <xdr:colOff>561817</xdr:colOff>
      <xdr:row>59</xdr:row>
      <xdr:rowOff>156570</xdr:rowOff>
    </xdr:to>
    <xdr:graphicFrame macro="">
      <xdr:nvGraphicFramePr>
        <xdr:cNvPr id="60" name="Diagramm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325922</xdr:colOff>
      <xdr:row>8</xdr:row>
      <xdr:rowOff>75457</xdr:rowOff>
    </xdr:from>
    <xdr:to>
      <xdr:col>15</xdr:col>
      <xdr:colOff>762995</xdr:colOff>
      <xdr:row>9</xdr:row>
      <xdr:rowOff>66261</xdr:rowOff>
    </xdr:to>
    <xdr:sp macro="" textlink="E8">
      <xdr:nvSpPr>
        <xdr:cNvPr id="58" name="Textfeld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9642200" y="1639214"/>
          <a:ext cx="437073" cy="17633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DAF0A531-B6FC-4799-A1D6-661CA83969C9}" type="TxLink">
            <a:rPr lang="en-US" sz="1260" b="1" i="0" u="none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pPr/>
            <a:t>Feb</a:t>
          </a:fld>
          <a:endParaRPr lang="de-AT" sz="1260" b="1">
            <a:latin typeface="+mn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0.16472</cdr:x>
      <cdr:y>0.10927</cdr:y>
    </cdr:from>
    <cdr:to>
      <cdr:x>0.87</cdr:x>
      <cdr:y>0.22244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3A9322C-0390-4D6F-B200-879928B41056}"/>
            </a:ext>
          </a:extLst>
        </cdr:cNvPr>
        <cdr:cNvSpPr txBox="1"/>
      </cdr:nvSpPr>
      <cdr:spPr>
        <a:xfrm xmlns:a="http://schemas.openxmlformats.org/drawingml/2006/main">
          <a:off x="685948" y="175015"/>
          <a:ext cx="2936962" cy="181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AT" sz="900"/>
            <a:t>(c)</a:t>
          </a:r>
          <a:r>
            <a:rPr lang="de-AT" sz="900" baseline="0"/>
            <a:t> Unit </a:t>
          </a:r>
          <a:r>
            <a:rPr lang="de-AT" sz="900"/>
            <a:t>Energy Efficient</a:t>
          </a:r>
          <a:r>
            <a:rPr lang="de-AT" sz="900" baseline="0"/>
            <a:t> Building,</a:t>
          </a:r>
          <a:r>
            <a:rPr lang="de-AT" sz="900"/>
            <a:t> University of Innsbruck </a:t>
          </a:r>
        </a:p>
      </cdr:txBody>
    </cdr:sp>
  </cdr:relSizeAnchor>
  <cdr:relSizeAnchor xmlns:cdr="http://schemas.openxmlformats.org/drawingml/2006/chartDrawing">
    <cdr:from>
      <cdr:x>0.59961</cdr:x>
      <cdr:y>0.01148</cdr:y>
    </cdr:from>
    <cdr:to>
      <cdr:x>0.7041</cdr:x>
      <cdr:y>0.14089</cdr:y>
    </cdr:to>
    <cdr:sp macro="" textlink="U_value_Glaser_wall!$E$8">
      <cdr:nvSpPr>
        <cdr:cNvPr id="3" name="Textfeld 57">
          <a:extLst xmlns:a="http://schemas.openxmlformats.org/drawingml/2006/main">
            <a:ext uri="{FF2B5EF4-FFF2-40B4-BE49-F238E27FC236}">
              <a16:creationId xmlns:a16="http://schemas.microsoft.com/office/drawing/2014/main" id="{F0152A12-D702-4183-AB7C-BFDDB99BA027}"/>
            </a:ext>
          </a:extLst>
        </cdr:cNvPr>
        <cdr:cNvSpPr txBox="1"/>
      </cdr:nvSpPr>
      <cdr:spPr>
        <a:xfrm xmlns:a="http://schemas.openxmlformats.org/drawingml/2006/main">
          <a:off x="2498060" y="18391"/>
          <a:ext cx="435321" cy="207264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563E5BC-8390-4BE7-B27B-968AD33A643F}" type="TxLink">
            <a:rPr lang="en-US" sz="126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Feb</a:t>
          </a:fld>
          <a:endParaRPr lang="de-AT" sz="1260" b="1">
            <a:latin typeface="+mn-lt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0.42038</cdr:x>
      <cdr:y>0.01958</cdr:y>
    </cdr:from>
    <cdr:to>
      <cdr:x>0.51549</cdr:x>
      <cdr:y>0.09878</cdr:y>
    </cdr:to>
    <cdr:sp macro="" textlink="U_value_Glaser_wall!$E$8">
      <cdr:nvSpPr>
        <cdr:cNvPr id="2" name="Textfeld 57">
          <a:extLst xmlns:a="http://schemas.openxmlformats.org/drawingml/2006/main">
            <a:ext uri="{FF2B5EF4-FFF2-40B4-BE49-F238E27FC236}">
              <a16:creationId xmlns:a16="http://schemas.microsoft.com/office/drawing/2014/main" id="{F0152A12-D702-4183-AB7C-BFDDB99BA027}"/>
            </a:ext>
          </a:extLst>
        </cdr:cNvPr>
        <cdr:cNvSpPr txBox="1"/>
      </cdr:nvSpPr>
      <cdr:spPr>
        <a:xfrm xmlns:a="http://schemas.openxmlformats.org/drawingml/2006/main">
          <a:off x="1932027" y="46909"/>
          <a:ext cx="437113" cy="189744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533FDC6-DF18-4267-988A-F45BF34DA197}" type="TxLink"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Feb</a:t>
          </a:fld>
          <a:endParaRPr lang="de-AT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0.15285</cdr:x>
      <cdr:y>0.18401</cdr:y>
    </cdr:from>
    <cdr:to>
      <cdr:x>0.84438</cdr:x>
      <cdr:y>0.26958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38000000}"/>
            </a:ext>
          </a:extLst>
        </cdr:cNvPr>
        <cdr:cNvSpPr txBox="1"/>
      </cdr:nvSpPr>
      <cdr:spPr>
        <a:xfrm xmlns:a="http://schemas.openxmlformats.org/drawingml/2006/main">
          <a:off x="700150" y="514631"/>
          <a:ext cx="3167575" cy="239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AT" sz="1000"/>
            <a:t>(c)</a:t>
          </a:r>
          <a:r>
            <a:rPr lang="de-AT" sz="1000" baseline="0"/>
            <a:t> Unit </a:t>
          </a:r>
          <a:r>
            <a:rPr lang="de-AT" sz="1000"/>
            <a:t>Energy Efficient</a:t>
          </a:r>
          <a:r>
            <a:rPr lang="de-AT" sz="1000" baseline="0"/>
            <a:t> Building,</a:t>
          </a:r>
          <a:r>
            <a:rPr lang="de-AT" sz="1000"/>
            <a:t> University of Innsbruck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420461</xdr:colOff>
          <xdr:row>0</xdr:row>
          <xdr:rowOff>163286</xdr:rowOff>
        </xdr:from>
        <xdr:to>
          <xdr:col>19</xdr:col>
          <xdr:colOff>363311</xdr:colOff>
          <xdr:row>15</xdr:row>
          <xdr:rowOff>80282</xdr:rowOff>
        </xdr:to>
        <xdr:sp macro="" textlink="">
          <xdr:nvSpPr>
            <xdr:cNvPr id="1031" name="Object 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417739</xdr:colOff>
          <xdr:row>14</xdr:row>
          <xdr:rowOff>216353</xdr:rowOff>
        </xdr:from>
        <xdr:to>
          <xdr:col>18</xdr:col>
          <xdr:colOff>227239</xdr:colOff>
          <xdr:row>21</xdr:row>
          <xdr:rowOff>83003</xdr:rowOff>
        </xdr:to>
        <xdr:sp macro="" textlink="">
          <xdr:nvSpPr>
            <xdr:cNvPr id="1029" name="Objekt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612321</xdr:colOff>
          <xdr:row>9</xdr:row>
          <xdr:rowOff>167368</xdr:rowOff>
        </xdr:from>
        <xdr:to>
          <xdr:col>19</xdr:col>
          <xdr:colOff>2721</xdr:colOff>
          <xdr:row>14</xdr:row>
          <xdr:rowOff>231322</xdr:rowOff>
        </xdr:to>
        <xdr:sp macro="" textlink="">
          <xdr:nvSpPr>
            <xdr:cNvPr id="1030" name="Objekt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96089</xdr:colOff>
      <xdr:row>10</xdr:row>
      <xdr:rowOff>161084</xdr:rowOff>
    </xdr:from>
    <xdr:to>
      <xdr:col>10</xdr:col>
      <xdr:colOff>53227</xdr:colOff>
      <xdr:row>24</xdr:row>
      <xdr:rowOff>60232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78441</xdr:colOff>
      <xdr:row>0</xdr:row>
      <xdr:rowOff>38100</xdr:rowOff>
    </xdr:from>
    <xdr:to>
      <xdr:col>8</xdr:col>
      <xdr:colOff>268941</xdr:colOff>
      <xdr:row>10</xdr:row>
      <xdr:rowOff>134470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6498291" y="38100"/>
          <a:ext cx="2476500" cy="2791945"/>
          <a:chOff x="6254437" y="1019968"/>
          <a:chExt cx="2614371" cy="3064352"/>
        </a:xfrm>
      </xdr:grpSpPr>
      <xdr:grpSp>
        <xdr:nvGrpSpPr>
          <xdr:cNvPr id="13" name="Gruppieren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6716953" y="1019968"/>
            <a:ext cx="2151855" cy="2218531"/>
            <a:chOff x="6179345" y="2378869"/>
            <a:chExt cx="1443036" cy="1452562"/>
          </a:xfrm>
        </xdr:grpSpPr>
        <xdr:sp macro="" textlink="">
          <xdr:nvSpPr>
            <xdr:cNvPr id="29" name="Ellipse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/>
          </xdr:nvSpPr>
          <xdr:spPr>
            <a:xfrm>
              <a:off x="6179345" y="2378869"/>
              <a:ext cx="1443036" cy="1452562"/>
            </a:xfrm>
            <a:prstGeom prst="ellipse">
              <a:avLst/>
            </a:prstGeom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xdr:spPr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 algn="ctr"/>
              <a:endParaRPr lang="de-AT" sz="1800">
                <a:latin typeface="+mj-lt"/>
              </a:endParaRPr>
            </a:p>
          </xdr:txBody>
        </xdr:sp>
        <xdr:sp macro="" textlink="">
          <xdr:nvSpPr>
            <xdr:cNvPr id="30" name="Ellipse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SpPr/>
          </xdr:nvSpPr>
          <xdr:spPr>
            <a:xfrm>
              <a:off x="6474619" y="2674144"/>
              <a:ext cx="850106" cy="862012"/>
            </a:xfrm>
            <a:prstGeom prst="ellipse">
              <a:avLst/>
            </a:prstGeom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xdr:spPr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 algn="ctr"/>
              <a:endParaRPr lang="de-AT" sz="1800">
                <a:latin typeface="+mj-lt"/>
              </a:endParaRPr>
            </a:p>
          </xdr:txBody>
        </xdr:sp>
        <xdr:sp macro="" textlink="">
          <xdr:nvSpPr>
            <xdr:cNvPr id="31" name="Ellipse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SpPr/>
          </xdr:nvSpPr>
          <xdr:spPr>
            <a:xfrm>
              <a:off x="6539866" y="2727960"/>
              <a:ext cx="721994" cy="75438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9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 algn="ctr"/>
              <a:endParaRPr lang="de-AT" sz="1800">
                <a:latin typeface="+mj-lt"/>
              </a:endParaRPr>
            </a:p>
          </xdr:txBody>
        </xdr:sp>
      </xdr:grpSp>
      <xdr:cxnSp macro="">
        <xdr:nvCxnSpPr>
          <xdr:cNvPr id="14" name="Gerade Verbindung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 bwMode="auto">
          <a:xfrm>
            <a:off x="6716953" y="1844040"/>
            <a:ext cx="5288" cy="2240280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5" name="Gerade Verbindung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 bwMode="auto">
          <a:xfrm>
            <a:off x="7160999" y="1844040"/>
            <a:ext cx="0" cy="1971645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6" name="Gerade Verbindung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 bwMode="auto">
          <a:xfrm>
            <a:off x="7254562" y="1844040"/>
            <a:ext cx="0" cy="1668780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7" name="Gerade Verbindung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 bwMode="auto">
          <a:xfrm flipH="1">
            <a:off x="8331199" y="1844040"/>
            <a:ext cx="322" cy="1668780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" name="Gerade Verbindung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CxnSpPr/>
        </xdr:nvCxnSpPr>
        <xdr:spPr bwMode="auto">
          <a:xfrm>
            <a:off x="8424944" y="1844040"/>
            <a:ext cx="0" cy="1971645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9" name="Gerade Verbindung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 bwMode="auto">
          <a:xfrm>
            <a:off x="8858412" y="1844040"/>
            <a:ext cx="5288" cy="2240280"/>
          </a:xfrm>
          <a:prstGeom prst="line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" name="Gerade Verbindung mit Pfeil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 bwMode="auto">
          <a:xfrm>
            <a:off x="7160999" y="3680460"/>
            <a:ext cx="1263945" cy="22860"/>
          </a:xfrm>
          <a:prstGeom prst="straightConnector1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arrow"/>
            <a:tailEnd type="arrow"/>
          </a:ln>
          <a:effectLst/>
        </xdr:spPr>
      </xdr:cxnSp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 bwMode="auto">
          <a:xfrm>
            <a:off x="7252786" y="3383280"/>
            <a:ext cx="1076637" cy="22860"/>
          </a:xfrm>
          <a:prstGeom prst="straightConnector1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arrow"/>
            <a:tailEnd type="arrow"/>
          </a:ln>
          <a:effectLst/>
        </xdr:spPr>
      </xdr:cxnSp>
      <xdr:cxnSp macro="">
        <xdr:nvCxnSpPr>
          <xdr:cNvPr id="22" name="Gerade Verbindung mit Pfeil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 bwMode="auto">
          <a:xfrm>
            <a:off x="6722241" y="3970020"/>
            <a:ext cx="2141459" cy="38731"/>
          </a:xfrm>
          <a:prstGeom prst="straightConnector1">
            <a:avLst/>
          </a:prstGeom>
          <a:solidFill>
            <a:schemeClr val="accent1"/>
          </a:solidFill>
          <a:ln w="12700" cap="flat" cmpd="sng" algn="ctr">
            <a:solidFill>
              <a:schemeClr val="tx1"/>
            </a:solidFill>
            <a:prstDash val="solid"/>
            <a:round/>
            <a:headEnd type="arrow"/>
            <a:tailEnd type="arrow"/>
          </a:ln>
          <a:effectLst/>
        </xdr:spPr>
      </xdr:cxnSp>
      <xdr:sp macro="" textlink="">
        <xdr:nvSpPr>
          <xdr:cNvPr id="23" name="Rechteck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7254562" y="1853798"/>
            <a:ext cx="367408" cy="40011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el-GR" sz="2000"/>
              <a:t>α</a:t>
            </a:r>
            <a:r>
              <a:rPr lang="de-DE" sz="2000" baseline="-25000"/>
              <a:t>i</a:t>
            </a:r>
            <a:endParaRPr lang="de-AT" sz="2000"/>
          </a:p>
        </xdr:txBody>
      </xdr:sp>
      <xdr:sp macro="" textlink="">
        <xdr:nvSpPr>
          <xdr:cNvPr id="24" name="Rechteck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7355269" y="3606105"/>
            <a:ext cx="994667" cy="38722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2000"/>
              <a:t>d</a:t>
            </a:r>
            <a:r>
              <a:rPr lang="de-DE" sz="2000" baseline="-25000"/>
              <a:t>insul_out</a:t>
            </a:r>
            <a:endParaRPr lang="de-AT" sz="2000"/>
          </a:p>
        </xdr:txBody>
      </xdr:sp>
      <xdr:sp macro="" textlink="">
        <xdr:nvSpPr>
          <xdr:cNvPr id="25" name="Rechteck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6722241" y="1861418"/>
            <a:ext cx="473206" cy="40011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el-GR" sz="2000"/>
              <a:t>λ</a:t>
            </a:r>
            <a:r>
              <a:rPr lang="de-DE" sz="2000" baseline="-25000"/>
              <a:t>(j)</a:t>
            </a:r>
            <a:endParaRPr lang="de-AT" sz="2000"/>
          </a:p>
        </xdr:txBody>
      </xdr:sp>
      <xdr:sp macro="" textlink="">
        <xdr:nvSpPr>
          <xdr:cNvPr id="26" name="Rechteck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7639180" y="3038444"/>
            <a:ext cx="360996" cy="40011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2000"/>
              <a:t>d</a:t>
            </a:r>
            <a:r>
              <a:rPr lang="de-DE" sz="2000" baseline="-25000"/>
              <a:t>i</a:t>
            </a:r>
            <a:endParaRPr lang="de-AT" sz="2000"/>
          </a:p>
        </xdr:txBody>
      </xdr:sp>
      <xdr:sp macro="" textlink="">
        <xdr:nvSpPr>
          <xdr:cNvPr id="27" name="Rechteck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/>
        </xdr:nvSpPr>
        <xdr:spPr>
          <a:xfrm>
            <a:off x="7524502" y="3322260"/>
            <a:ext cx="587310" cy="38722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de-AT" sz="2000"/>
              <a:t>DN</a:t>
            </a:r>
          </a:p>
        </xdr:txBody>
      </xdr:sp>
      <xdr:sp macro="" textlink="">
        <xdr:nvSpPr>
          <xdr:cNvPr id="28" name="Rechteck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/>
        </xdr:nvSpPr>
        <xdr:spPr>
          <a:xfrm>
            <a:off x="6254437" y="1861418"/>
            <a:ext cx="394660" cy="40011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9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r>
              <a:rPr lang="el-GR" sz="2000"/>
              <a:t>α</a:t>
            </a:r>
            <a:r>
              <a:rPr lang="de-DE" sz="2000" baseline="-25000"/>
              <a:t>a</a:t>
            </a:r>
            <a:endParaRPr lang="de-AT" sz="20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24652</xdr:colOff>
      <xdr:row>13</xdr:row>
      <xdr:rowOff>180319</xdr:rowOff>
    </xdr:from>
    <xdr:to>
      <xdr:col>9</xdr:col>
      <xdr:colOff>627529</xdr:colOff>
      <xdr:row>31</xdr:row>
      <xdr:rowOff>653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736600</xdr:colOff>
          <xdr:row>5</xdr:row>
          <xdr:rowOff>107950</xdr:rowOff>
        </xdr:from>
        <xdr:to>
          <xdr:col>16</xdr:col>
          <xdr:colOff>374650</xdr:colOff>
          <xdr:row>8</xdr:row>
          <xdr:rowOff>146050</xdr:rowOff>
        </xdr:to>
        <xdr:sp macro="" textlink="">
          <xdr:nvSpPr>
            <xdr:cNvPr id="2049" name="Object 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260350</xdr:colOff>
          <xdr:row>29</xdr:row>
          <xdr:rowOff>38100</xdr:rowOff>
        </xdr:from>
        <xdr:to>
          <xdr:col>13</xdr:col>
          <xdr:colOff>25400</xdr:colOff>
          <xdr:row>33</xdr:row>
          <xdr:rowOff>12700</xdr:rowOff>
        </xdr:to>
        <xdr:sp macro="" textlink="">
          <xdr:nvSpPr>
            <xdr:cNvPr id="2051" name="Object 5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21</xdr:row>
          <xdr:rowOff>177800</xdr:rowOff>
        </xdr:from>
        <xdr:to>
          <xdr:col>14</xdr:col>
          <xdr:colOff>0</xdr:colOff>
          <xdr:row>25</xdr:row>
          <xdr:rowOff>38100</xdr:rowOff>
        </xdr:to>
        <xdr:sp macro="" textlink="">
          <xdr:nvSpPr>
            <xdr:cNvPr id="2052" name="Object 30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25</xdr:row>
          <xdr:rowOff>50800</xdr:rowOff>
        </xdr:from>
        <xdr:to>
          <xdr:col>14</xdr:col>
          <xdr:colOff>88900</xdr:colOff>
          <xdr:row>28</xdr:row>
          <xdr:rowOff>88900</xdr:rowOff>
        </xdr:to>
        <xdr:sp macro="" textlink="">
          <xdr:nvSpPr>
            <xdr:cNvPr id="2053" name="Object 3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200025</xdr:colOff>
      <xdr:row>9</xdr:row>
      <xdr:rowOff>160271</xdr:rowOff>
    </xdr:from>
    <xdr:to>
      <xdr:col>16</xdr:col>
      <xdr:colOff>9525</xdr:colOff>
      <xdr:row>18</xdr:row>
      <xdr:rowOff>123824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36" t="13826" r="6989" b="62520"/>
        <a:stretch/>
      </xdr:blipFill>
      <xdr:spPr bwMode="auto">
        <a:xfrm>
          <a:off x="9105900" y="1922396"/>
          <a:ext cx="3619500" cy="172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18</xdr:row>
          <xdr:rowOff>165100</xdr:rowOff>
        </xdr:from>
        <xdr:to>
          <xdr:col>15</xdr:col>
          <xdr:colOff>355600</xdr:colOff>
          <xdr:row>20</xdr:row>
          <xdr:rowOff>146050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336550</xdr:colOff>
          <xdr:row>6</xdr:row>
          <xdr:rowOff>63500</xdr:rowOff>
        </xdr:from>
        <xdr:to>
          <xdr:col>10</xdr:col>
          <xdr:colOff>622300</xdr:colOff>
          <xdr:row>8</xdr:row>
          <xdr:rowOff>184150</xdr:rowOff>
        </xdr:to>
        <xdr:sp macro="" textlink="">
          <xdr:nvSpPr>
            <xdr:cNvPr id="3073" name="Object 5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368300</xdr:colOff>
          <xdr:row>9</xdr:row>
          <xdr:rowOff>50800</xdr:rowOff>
        </xdr:from>
        <xdr:to>
          <xdr:col>8</xdr:col>
          <xdr:colOff>450850</xdr:colOff>
          <xdr:row>11</xdr:row>
          <xdr:rowOff>114300</xdr:rowOff>
        </xdr:to>
        <xdr:sp macro="" textlink="">
          <xdr:nvSpPr>
            <xdr:cNvPr id="3074" name="Object 7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552450</xdr:colOff>
      <xdr:row>9</xdr:row>
      <xdr:rowOff>168003</xdr:rowOff>
    </xdr:from>
    <xdr:to>
      <xdr:col>10</xdr:col>
      <xdr:colOff>473372</xdr:colOff>
      <xdr:row>11</xdr:row>
      <xdr:rowOff>37200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7324725" y="1958703"/>
          <a:ext cx="1444922" cy="2501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lvl="0" algn="just" eaLnBrk="1" hangingPunct="1"/>
          <a:r>
            <a:rPr lang="en-US" sz="1050">
              <a:latin typeface="+mj-lt"/>
            </a:rPr>
            <a:t> kg air/kg</a:t>
          </a:r>
          <a:r>
            <a:rPr lang="en-US" sz="1050" baseline="-25000">
              <a:latin typeface="+mj-lt"/>
            </a:rPr>
            <a:t>fuel</a:t>
          </a:r>
          <a:endParaRPr lang="en-US" sz="1050"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279400</xdr:colOff>
          <xdr:row>11</xdr:row>
          <xdr:rowOff>139700</xdr:rowOff>
        </xdr:from>
        <xdr:to>
          <xdr:col>12</xdr:col>
          <xdr:colOff>488950</xdr:colOff>
          <xdr:row>14</xdr:row>
          <xdr:rowOff>114300</xdr:rowOff>
        </xdr:to>
        <xdr:sp macro="" textlink="">
          <xdr:nvSpPr>
            <xdr:cNvPr id="3075" name="Object 2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14</xdr:row>
          <xdr:rowOff>139700</xdr:rowOff>
        </xdr:from>
        <xdr:to>
          <xdr:col>12</xdr:col>
          <xdr:colOff>495300</xdr:colOff>
          <xdr:row>17</xdr:row>
          <xdr:rowOff>101600</xdr:rowOff>
        </xdr:to>
        <xdr:sp macro="" textlink="">
          <xdr:nvSpPr>
            <xdr:cNvPr id="3076" name="Object 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222250</xdr:colOff>
          <xdr:row>17</xdr:row>
          <xdr:rowOff>63500</xdr:rowOff>
        </xdr:from>
        <xdr:to>
          <xdr:col>10</xdr:col>
          <xdr:colOff>165100</xdr:colOff>
          <xdr:row>20</xdr:row>
          <xdr:rowOff>12700</xdr:rowOff>
        </xdr:to>
        <xdr:sp macro="" textlink="">
          <xdr:nvSpPr>
            <xdr:cNvPr id="3077" name="Object 6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342900</xdr:colOff>
          <xdr:row>19</xdr:row>
          <xdr:rowOff>127000</xdr:rowOff>
        </xdr:from>
        <xdr:to>
          <xdr:col>13</xdr:col>
          <xdr:colOff>546100</xdr:colOff>
          <xdr:row>20</xdr:row>
          <xdr:rowOff>152400</xdr:rowOff>
        </xdr:to>
        <xdr:sp macro="" textlink="">
          <xdr:nvSpPr>
            <xdr:cNvPr id="3078" name="Objekt 10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184150</xdr:colOff>
          <xdr:row>20</xdr:row>
          <xdr:rowOff>146050</xdr:rowOff>
        </xdr:from>
        <xdr:to>
          <xdr:col>9</xdr:col>
          <xdr:colOff>469900</xdr:colOff>
          <xdr:row>22</xdr:row>
          <xdr:rowOff>63500</xdr:rowOff>
        </xdr:to>
        <xdr:sp macro="" textlink="">
          <xdr:nvSpPr>
            <xdr:cNvPr id="3079" name="Objekt 1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23</xdr:row>
          <xdr:rowOff>146050</xdr:rowOff>
        </xdr:from>
        <xdr:to>
          <xdr:col>9</xdr:col>
          <xdr:colOff>368300</xdr:colOff>
          <xdr:row>25</xdr:row>
          <xdr:rowOff>127000</xdr:rowOff>
        </xdr:to>
        <xdr:sp macro="" textlink="">
          <xdr:nvSpPr>
            <xdr:cNvPr id="3080" name="Object 21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527050</xdr:colOff>
          <xdr:row>23</xdr:row>
          <xdr:rowOff>165100</xdr:rowOff>
        </xdr:from>
        <xdr:to>
          <xdr:col>11</xdr:col>
          <xdr:colOff>488950</xdr:colOff>
          <xdr:row>25</xdr:row>
          <xdr:rowOff>177800</xdr:rowOff>
        </xdr:to>
        <xdr:sp macro="" textlink="">
          <xdr:nvSpPr>
            <xdr:cNvPr id="3081" name="Object 31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26</xdr:row>
          <xdr:rowOff>50800</xdr:rowOff>
        </xdr:from>
        <xdr:to>
          <xdr:col>9</xdr:col>
          <xdr:colOff>368300</xdr:colOff>
          <xdr:row>28</xdr:row>
          <xdr:rowOff>38100</xdr:rowOff>
        </xdr:to>
        <xdr:sp macro="" textlink="">
          <xdr:nvSpPr>
            <xdr:cNvPr id="3082" name="Object 29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558800</xdr:colOff>
          <xdr:row>26</xdr:row>
          <xdr:rowOff>50800</xdr:rowOff>
        </xdr:from>
        <xdr:to>
          <xdr:col>12</xdr:col>
          <xdr:colOff>0</xdr:colOff>
          <xdr:row>27</xdr:row>
          <xdr:rowOff>114300</xdr:rowOff>
        </xdr:to>
        <xdr:sp macro="" textlink="">
          <xdr:nvSpPr>
            <xdr:cNvPr id="3083" name="Object 33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5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28</xdr:row>
          <xdr:rowOff>88900</xdr:rowOff>
        </xdr:from>
        <xdr:to>
          <xdr:col>9</xdr:col>
          <xdr:colOff>444500</xdr:colOff>
          <xdr:row>30</xdr:row>
          <xdr:rowOff>25400</xdr:rowOff>
        </xdr:to>
        <xdr:sp macro="" textlink="">
          <xdr:nvSpPr>
            <xdr:cNvPr id="3084" name="Object 33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5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107950</xdr:rowOff>
        </xdr:from>
        <xdr:to>
          <xdr:col>9</xdr:col>
          <xdr:colOff>641350</xdr:colOff>
          <xdr:row>35</xdr:row>
          <xdr:rowOff>184150</xdr:rowOff>
        </xdr:to>
        <xdr:sp macro="" textlink="">
          <xdr:nvSpPr>
            <xdr:cNvPr id="3085" name="Object 25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5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647700</xdr:colOff>
          <xdr:row>33</xdr:row>
          <xdr:rowOff>146050</xdr:rowOff>
        </xdr:from>
        <xdr:to>
          <xdr:col>12</xdr:col>
          <xdr:colOff>279400</xdr:colOff>
          <xdr:row>36</xdr:row>
          <xdr:rowOff>12700</xdr:rowOff>
        </xdr:to>
        <xdr:sp macro="" textlink="">
          <xdr:nvSpPr>
            <xdr:cNvPr id="3086" name="Object 37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5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36</xdr:row>
          <xdr:rowOff>69850</xdr:rowOff>
        </xdr:from>
        <xdr:to>
          <xdr:col>9</xdr:col>
          <xdr:colOff>63500</xdr:colOff>
          <xdr:row>38</xdr:row>
          <xdr:rowOff>114300</xdr:rowOff>
        </xdr:to>
        <xdr:sp macro="" textlink="">
          <xdr:nvSpPr>
            <xdr:cNvPr id="3087" name="Object 41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5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660400</xdr:colOff>
          <xdr:row>36</xdr:row>
          <xdr:rowOff>50800</xdr:rowOff>
        </xdr:from>
        <xdr:to>
          <xdr:col>12</xdr:col>
          <xdr:colOff>152400</xdr:colOff>
          <xdr:row>38</xdr:row>
          <xdr:rowOff>76200</xdr:rowOff>
        </xdr:to>
        <xdr:sp macro="" textlink="">
          <xdr:nvSpPr>
            <xdr:cNvPr id="3088" name="Object 35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5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39</xdr:row>
          <xdr:rowOff>50800</xdr:rowOff>
        </xdr:from>
        <xdr:to>
          <xdr:col>9</xdr:col>
          <xdr:colOff>450850</xdr:colOff>
          <xdr:row>41</xdr:row>
          <xdr:rowOff>139700</xdr:rowOff>
        </xdr:to>
        <xdr:sp macro="" textlink="">
          <xdr:nvSpPr>
            <xdr:cNvPr id="3089" name="Object 39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5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622300</xdr:colOff>
          <xdr:row>39</xdr:row>
          <xdr:rowOff>38100</xdr:rowOff>
        </xdr:from>
        <xdr:to>
          <xdr:col>11</xdr:col>
          <xdr:colOff>641350</xdr:colOff>
          <xdr:row>41</xdr:row>
          <xdr:rowOff>146050</xdr:rowOff>
        </xdr:to>
        <xdr:sp macro="" textlink="">
          <xdr:nvSpPr>
            <xdr:cNvPr id="3090" name="Object 43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5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476250</xdr:colOff>
      <xdr:row>42</xdr:row>
      <xdr:rowOff>38100</xdr:rowOff>
    </xdr:from>
    <xdr:to>
      <xdr:col>9</xdr:col>
      <xdr:colOff>728946</xdr:colOff>
      <xdr:row>53</xdr:row>
      <xdr:rowOff>76157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Grp="1" noChangeAspect="1" noChangeArrowheads="1"/>
        </xdr:cNvPicPr>
      </xdr:nvPicPr>
      <xdr:blipFill rotWithShape="1">
        <a:blip xmlns:r="http://schemas.openxmlformats.org/officeDocument/2006/relationships" r:embed="rId1" cstate="print"/>
        <a:srcRect l="31254" t="45668" r="62513" b="32090"/>
        <a:stretch/>
      </xdr:blipFill>
      <xdr:spPr bwMode="auto">
        <a:xfrm>
          <a:off x="6486525" y="8115300"/>
          <a:ext cx="1776696" cy="21335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222250</xdr:colOff>
          <xdr:row>45</xdr:row>
          <xdr:rowOff>50800</xdr:rowOff>
        </xdr:from>
        <xdr:to>
          <xdr:col>13</xdr:col>
          <xdr:colOff>254000</xdr:colOff>
          <xdr:row>48</xdr:row>
          <xdr:rowOff>139700</xdr:rowOff>
        </xdr:to>
        <xdr:sp macro="" textlink="">
          <xdr:nvSpPr>
            <xdr:cNvPr id="3091" name="Object 12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5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857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E534E5-C852-4CB6-A520-1A13151C59EB}" name="Materials3" displayName="Materials3" ref="B3:D16" headerRowDxfId="32">
  <autoFilter ref="B3:D16" xr:uid="{76E534E5-C852-4CB6-A520-1A13151C59EB}"/>
  <tableColumns count="3">
    <tableColumn id="1" xr3:uid="{ACE93359-4004-4C72-B4A8-17D667308663}" name="Name"/>
    <tableColumn id="2" xr3:uid="{1A93BB7D-8396-46D9-B812-E9632BA3461A}" name=" λ [W/mK]" dataDxfId="31" totalsRowDxfId="30"/>
    <tableColumn id="3" xr3:uid="{93E40A42-2945-42C0-8AFA-0CB5633EA620}" name="μ [-]" totalsRowFunction="count" dataDxfId="29" totalsRowDxfId="28"/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8B421-7653-4922-A7A6-7B5C55A78583}" name="Climates" displayName="Climates" ref="F3:AE8" totalsRowShown="0" headerRowDxfId="27" dataDxfId="26">
  <autoFilter ref="F3:AE8" xr:uid="{2B58B421-7653-4922-A7A6-7B5C55A78583}"/>
  <tableColumns count="26">
    <tableColumn id="1" xr3:uid="{A61F0630-85DB-4876-82BF-1F2D2A23EFF6}" name="Location" dataDxfId="25"/>
    <tableColumn id="2" xr3:uid="{85449FC4-6B84-47BC-AD55-845D8591D15B}" name="Jan" dataDxfId="24"/>
    <tableColumn id="3" xr3:uid="{9ACD7D41-1441-41C0-A494-506DDB155A9F}" name="Feb" dataDxfId="23"/>
    <tableColumn id="4" xr3:uid="{07755767-FB9D-42E1-B1C6-6D45C4E5D9B5}" name="Mar" dataDxfId="22"/>
    <tableColumn id="5" xr3:uid="{C0D1FB9A-1E52-4D21-B156-A32B202B34F6}" name="Apr" dataDxfId="21"/>
    <tableColumn id="6" xr3:uid="{5861F588-AD0C-42BB-B220-72F3EA3911FA}" name="May" dataDxfId="20"/>
    <tableColumn id="7" xr3:uid="{E5C8A521-0EA6-47C9-920D-4184F5E2BA63}" name="Jun" dataDxfId="19"/>
    <tableColumn id="8" xr3:uid="{E143F5BD-6D92-4AF2-A8A0-C50A1EC3CDE4}" name="July" dataDxfId="18"/>
    <tableColumn id="9" xr3:uid="{6974B1CD-D4BA-425D-BB4C-FF0ECF3BA885}" name="Aug" dataDxfId="17"/>
    <tableColumn id="10" xr3:uid="{100CDE7C-BFEA-42D6-BF88-8305630D6016}" name="Sept" dataDxfId="16"/>
    <tableColumn id="11" xr3:uid="{3FB6F174-529F-439D-866A-530A5B760556}" name="Oct" dataDxfId="15"/>
    <tableColumn id="12" xr3:uid="{E6E01AA0-D8DA-45E9-84D9-FF8F6D49EC3B}" name="Nov" dataDxfId="14"/>
    <tableColumn id="13" xr3:uid="{785ADD4E-804D-43F6-B457-5F697F46C650}" name="Dec" dataDxfId="13"/>
    <tableColumn id="14" xr3:uid="{98F2B641-AA6A-4BD6-AAF2-A6D77C6979A0}" name="Spalte2" dataDxfId="12"/>
    <tableColumn id="15" xr3:uid="{FAC0454D-79BA-4580-9DC1-8AA7F74E7C41}" name="Jan3" dataDxfId="11"/>
    <tableColumn id="16" xr3:uid="{06550864-E464-47C9-881F-59A24CCDAE72}" name="Feb4" dataDxfId="10"/>
    <tableColumn id="17" xr3:uid="{00743A01-0B7E-488C-9275-2B518424074C}" name="Mar5" dataDxfId="9"/>
    <tableColumn id="18" xr3:uid="{BD95465C-DB90-4AA2-BFDA-2FAC6A0B2E98}" name="Apr6" dataDxfId="8"/>
    <tableColumn id="19" xr3:uid="{72AC13F6-8513-4414-9ABB-A7494A4BC368}" name="May7" dataDxfId="7"/>
    <tableColumn id="20" xr3:uid="{F51C9933-5DCE-46C7-8A3A-1B643AF577D5}" name="Jun8" dataDxfId="6"/>
    <tableColumn id="21" xr3:uid="{A3FE8A27-78EE-4390-8621-01F86FBF1ECF}" name="July9" dataDxfId="5"/>
    <tableColumn id="22" xr3:uid="{1EC008D3-13B1-4414-85CC-306C46A5EBD8}" name="Aug10" dataDxfId="4"/>
    <tableColumn id="23" xr3:uid="{3C3FE647-448C-4B0E-93E7-059C7EE1E817}" name="Sept11" dataDxfId="3"/>
    <tableColumn id="24" xr3:uid="{138E4956-1D24-4488-A8FC-C951D27D4F5B}" name="Oct12" dataDxfId="2"/>
    <tableColumn id="25" xr3:uid="{58208F53-0B4C-4F22-803B-332A584DE2A3}" name="Nov13" dataDxfId="1"/>
    <tableColumn id="26" xr3:uid="{3B9D96AD-10CA-45F5-83A8-57C22406B663}" name="Dec1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image" Target="../media/image8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5.bin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4.bin"/><Relationship Id="rId9" Type="http://schemas.openxmlformats.org/officeDocument/2006/relationships/image" Target="../media/image6.emf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14.bin"/><Relationship Id="rId18" Type="http://schemas.openxmlformats.org/officeDocument/2006/relationships/image" Target="../media/image17.emf"/><Relationship Id="rId26" Type="http://schemas.openxmlformats.org/officeDocument/2006/relationships/image" Target="../media/image21.emf"/><Relationship Id="rId39" Type="http://schemas.openxmlformats.org/officeDocument/2006/relationships/oleObject" Target="../embeddings/oleObject27.bin"/><Relationship Id="rId21" Type="http://schemas.openxmlformats.org/officeDocument/2006/relationships/oleObject" Target="../embeddings/oleObject18.bin"/><Relationship Id="rId34" Type="http://schemas.openxmlformats.org/officeDocument/2006/relationships/image" Target="../media/image25.emf"/><Relationship Id="rId7" Type="http://schemas.openxmlformats.org/officeDocument/2006/relationships/oleObject" Target="../embeddings/oleObject11.bin"/><Relationship Id="rId12" Type="http://schemas.openxmlformats.org/officeDocument/2006/relationships/image" Target="../media/image14.emf"/><Relationship Id="rId17" Type="http://schemas.openxmlformats.org/officeDocument/2006/relationships/oleObject" Target="../embeddings/oleObject16.bin"/><Relationship Id="rId25" Type="http://schemas.openxmlformats.org/officeDocument/2006/relationships/oleObject" Target="../embeddings/oleObject20.bin"/><Relationship Id="rId33" Type="http://schemas.openxmlformats.org/officeDocument/2006/relationships/oleObject" Target="../embeddings/oleObject24.bin"/><Relationship Id="rId38" Type="http://schemas.openxmlformats.org/officeDocument/2006/relationships/image" Target="../media/image27.emf"/><Relationship Id="rId2" Type="http://schemas.openxmlformats.org/officeDocument/2006/relationships/vmlDrawing" Target="../drawings/vmlDrawing5.vml"/><Relationship Id="rId16" Type="http://schemas.openxmlformats.org/officeDocument/2006/relationships/image" Target="../media/image16.emf"/><Relationship Id="rId20" Type="http://schemas.openxmlformats.org/officeDocument/2006/relationships/image" Target="../media/image18.emf"/><Relationship Id="rId29" Type="http://schemas.openxmlformats.org/officeDocument/2006/relationships/oleObject" Target="../embeddings/oleObject22.bin"/><Relationship Id="rId1" Type="http://schemas.openxmlformats.org/officeDocument/2006/relationships/drawing" Target="../drawings/drawing7.xml"/><Relationship Id="rId6" Type="http://schemas.openxmlformats.org/officeDocument/2006/relationships/image" Target="../media/image11.emf"/><Relationship Id="rId11" Type="http://schemas.openxmlformats.org/officeDocument/2006/relationships/oleObject" Target="../embeddings/oleObject13.bin"/><Relationship Id="rId24" Type="http://schemas.openxmlformats.org/officeDocument/2006/relationships/image" Target="../media/image20.emf"/><Relationship Id="rId32" Type="http://schemas.openxmlformats.org/officeDocument/2006/relationships/image" Target="../media/image24.emf"/><Relationship Id="rId37" Type="http://schemas.openxmlformats.org/officeDocument/2006/relationships/oleObject" Target="../embeddings/oleObject26.bin"/><Relationship Id="rId40" Type="http://schemas.openxmlformats.org/officeDocument/2006/relationships/image" Target="../media/image28.emf"/><Relationship Id="rId5" Type="http://schemas.openxmlformats.org/officeDocument/2006/relationships/oleObject" Target="../embeddings/oleObject10.bin"/><Relationship Id="rId15" Type="http://schemas.openxmlformats.org/officeDocument/2006/relationships/oleObject" Target="../embeddings/oleObject15.bin"/><Relationship Id="rId23" Type="http://schemas.openxmlformats.org/officeDocument/2006/relationships/oleObject" Target="../embeddings/oleObject19.bin"/><Relationship Id="rId28" Type="http://schemas.openxmlformats.org/officeDocument/2006/relationships/image" Target="../media/image22.emf"/><Relationship Id="rId36" Type="http://schemas.openxmlformats.org/officeDocument/2006/relationships/image" Target="../media/image26.emf"/><Relationship Id="rId10" Type="http://schemas.openxmlformats.org/officeDocument/2006/relationships/image" Target="../media/image13.emf"/><Relationship Id="rId19" Type="http://schemas.openxmlformats.org/officeDocument/2006/relationships/oleObject" Target="../embeddings/oleObject17.bin"/><Relationship Id="rId31" Type="http://schemas.openxmlformats.org/officeDocument/2006/relationships/oleObject" Target="../embeddings/oleObject23.bin"/><Relationship Id="rId4" Type="http://schemas.openxmlformats.org/officeDocument/2006/relationships/image" Target="../media/image10.emf"/><Relationship Id="rId9" Type="http://schemas.openxmlformats.org/officeDocument/2006/relationships/oleObject" Target="../embeddings/oleObject12.bin"/><Relationship Id="rId14" Type="http://schemas.openxmlformats.org/officeDocument/2006/relationships/image" Target="../media/image15.emf"/><Relationship Id="rId22" Type="http://schemas.openxmlformats.org/officeDocument/2006/relationships/image" Target="../media/image19.emf"/><Relationship Id="rId27" Type="http://schemas.openxmlformats.org/officeDocument/2006/relationships/oleObject" Target="../embeddings/oleObject21.bin"/><Relationship Id="rId30" Type="http://schemas.openxmlformats.org/officeDocument/2006/relationships/image" Target="../media/image23.emf"/><Relationship Id="rId35" Type="http://schemas.openxmlformats.org/officeDocument/2006/relationships/oleObject" Target="../embeddings/oleObject25.bin"/><Relationship Id="rId8" Type="http://schemas.openxmlformats.org/officeDocument/2006/relationships/image" Target="../media/image12.emf"/><Relationship Id="rId3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4703-458C-435F-A6A9-A60014397FA2}">
  <sheetPr codeName="Tabelle1"/>
  <dimension ref="A1:J15"/>
  <sheetViews>
    <sheetView tabSelected="1" workbookViewId="0">
      <selection activeCell="F11" sqref="F11"/>
    </sheetView>
  </sheetViews>
  <sheetFormatPr baseColWidth="10" defaultRowHeight="14.5"/>
  <cols>
    <col min="1" max="1" width="13.6328125" customWidth="1"/>
    <col min="2" max="2" width="15.54296875" customWidth="1"/>
  </cols>
  <sheetData>
    <row r="1" spans="1:10" ht="18.5">
      <c r="A1" s="242" t="s">
        <v>269</v>
      </c>
      <c r="B1" s="242"/>
      <c r="C1" s="242"/>
      <c r="D1" s="242"/>
      <c r="E1" s="242"/>
    </row>
    <row r="2" spans="1:10" ht="18.5">
      <c r="A2" s="242" t="s">
        <v>274</v>
      </c>
      <c r="B2" s="242"/>
      <c r="C2" s="242"/>
      <c r="D2" s="242"/>
      <c r="E2" s="242"/>
    </row>
    <row r="3" spans="1:10" ht="18.5">
      <c r="A3" s="242" t="s">
        <v>255</v>
      </c>
      <c r="B3" s="242"/>
      <c r="C3" s="242"/>
      <c r="D3" s="242"/>
      <c r="E3" s="242"/>
    </row>
    <row r="4" spans="1:10" ht="18.5">
      <c r="A4" s="243" t="s">
        <v>256</v>
      </c>
      <c r="B4" s="242"/>
      <c r="C4" s="242"/>
      <c r="D4" s="242"/>
      <c r="E4" s="242"/>
    </row>
    <row r="5" spans="1:10" ht="18.5">
      <c r="E5" s="242"/>
    </row>
    <row r="6" spans="1:10" ht="18.5">
      <c r="A6" s="242" t="s">
        <v>253</v>
      </c>
      <c r="B6" s="9" t="s">
        <v>254</v>
      </c>
      <c r="C6" s="242" t="s">
        <v>260</v>
      </c>
      <c r="D6" s="242"/>
    </row>
    <row r="7" spans="1:10" ht="18.5">
      <c r="A7" s="242" t="s">
        <v>257</v>
      </c>
    </row>
    <row r="8" spans="1:10" ht="18.5">
      <c r="A8" s="242" t="s">
        <v>275</v>
      </c>
    </row>
    <row r="10" spans="1:10" ht="18.5">
      <c r="A10" s="242" t="s">
        <v>258</v>
      </c>
    </row>
    <row r="11" spans="1:10" ht="18.5">
      <c r="A11" s="242" t="s">
        <v>259</v>
      </c>
      <c r="B11" s="185"/>
      <c r="C11" s="185"/>
      <c r="D11" s="185"/>
    </row>
    <row r="12" spans="1:10" ht="18.5">
      <c r="A12" s="242" t="s">
        <v>276</v>
      </c>
      <c r="B12" s="185"/>
      <c r="C12" s="185"/>
      <c r="D12" s="185"/>
      <c r="E12" s="185"/>
      <c r="F12" s="185"/>
      <c r="G12" s="185"/>
      <c r="H12" s="185"/>
      <c r="I12" s="185"/>
      <c r="J12" s="185"/>
    </row>
    <row r="13" spans="1:10" ht="18.5">
      <c r="A13" s="242" t="s">
        <v>262</v>
      </c>
    </row>
    <row r="14" spans="1:10" ht="18.5">
      <c r="A14" s="11" t="s">
        <v>261</v>
      </c>
    </row>
    <row r="15" spans="1:10" ht="18.5">
      <c r="A15" s="11" t="s">
        <v>277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EAD6-CDE8-4AF0-A61A-98B18498E333}">
  <sheetPr codeName="Tabelle2"/>
  <dimension ref="A1:Z96"/>
  <sheetViews>
    <sheetView zoomScaleNormal="100" workbookViewId="0">
      <selection activeCell="C3" sqref="C3"/>
    </sheetView>
  </sheetViews>
  <sheetFormatPr baseColWidth="10" defaultRowHeight="14.5"/>
  <cols>
    <col min="1" max="1" width="13.453125" customWidth="1"/>
    <col min="2" max="2" width="7.453125" customWidth="1"/>
    <col min="3" max="3" width="11.08984375" customWidth="1"/>
    <col min="4" max="4" width="11.6328125" customWidth="1"/>
    <col min="5" max="5" width="11.81640625" customWidth="1"/>
    <col min="6" max="6" width="10.54296875" customWidth="1"/>
    <col min="7" max="7" width="7.81640625" customWidth="1"/>
    <col min="8" max="8" width="8" customWidth="1"/>
    <col min="9" max="9" width="7.90625" customWidth="1"/>
    <col min="10" max="10" width="7.1796875" customWidth="1"/>
    <col min="11" max="11" width="7.54296875" customWidth="1"/>
    <col min="12" max="12" width="8.453125" customWidth="1"/>
    <col min="13" max="13" width="7.81640625" customWidth="1"/>
    <col min="14" max="15" width="7.54296875" customWidth="1"/>
    <col min="17" max="17" width="9" customWidth="1"/>
    <col min="18" max="18" width="7.81640625" customWidth="1"/>
    <col min="19" max="19" width="7.6328125" customWidth="1"/>
    <col min="20" max="20" width="7" customWidth="1"/>
    <col min="21" max="21" width="7.36328125" customWidth="1"/>
    <col min="22" max="22" width="7.1796875" customWidth="1"/>
    <col min="23" max="23" width="8.1796875" customWidth="1"/>
  </cols>
  <sheetData>
    <row r="1" spans="1:26" ht="13.75" customHeight="1">
      <c r="A1" s="254" t="s">
        <v>187</v>
      </c>
      <c r="B1" s="255"/>
      <c r="C1" s="255"/>
      <c r="D1" s="255"/>
      <c r="E1" s="255"/>
      <c r="F1" s="255"/>
      <c r="G1" s="255"/>
      <c r="H1" s="256"/>
    </row>
    <row r="2" spans="1:26" ht="15.5">
      <c r="A2" s="41" t="s">
        <v>14</v>
      </c>
      <c r="B2" s="91" t="s">
        <v>153</v>
      </c>
      <c r="C2" s="96" t="s">
        <v>135</v>
      </c>
      <c r="D2" s="96" t="s">
        <v>136</v>
      </c>
      <c r="E2" s="96" t="s">
        <v>137</v>
      </c>
      <c r="F2" s="96" t="s">
        <v>138</v>
      </c>
      <c r="G2" s="96" t="s">
        <v>154</v>
      </c>
      <c r="H2" s="42"/>
    </row>
    <row r="3" spans="1:26" ht="15.5">
      <c r="A3" s="43" t="s">
        <v>216</v>
      </c>
      <c r="B3" s="44"/>
      <c r="C3" s="227" t="s">
        <v>161</v>
      </c>
      <c r="D3" s="227" t="s">
        <v>166</v>
      </c>
      <c r="E3" s="227" t="s">
        <v>163</v>
      </c>
      <c r="F3" s="227" t="s">
        <v>161</v>
      </c>
      <c r="G3" s="44"/>
      <c r="H3" s="45"/>
    </row>
    <row r="4" spans="1:26" ht="15.5">
      <c r="A4" s="43" t="s">
        <v>191</v>
      </c>
      <c r="B4" s="44"/>
      <c r="C4" s="227">
        <v>0.01</v>
      </c>
      <c r="D4" s="227">
        <v>0.2</v>
      </c>
      <c r="E4" s="227">
        <v>0.15</v>
      </c>
      <c r="F4" s="227">
        <v>0.01</v>
      </c>
      <c r="G4" s="44"/>
      <c r="H4" s="45" t="s">
        <v>2</v>
      </c>
    </row>
    <row r="5" spans="1:26" ht="14.4" customHeight="1">
      <c r="A5" s="43" t="s">
        <v>231</v>
      </c>
      <c r="B5" s="44"/>
      <c r="C5" s="46">
        <f>VLOOKUP(C3,Materials3[],2,FALSE)</f>
        <v>0.9</v>
      </c>
      <c r="D5" s="46">
        <f>VLOOKUP(D3,Materials3[],2,FALSE)</f>
        <v>0.6</v>
      </c>
      <c r="E5" s="46">
        <f>VLOOKUP(E3,Materials3[],2,FALSE)</f>
        <v>0.04</v>
      </c>
      <c r="F5" s="46">
        <f>VLOOKUP(F3,Materials3[],2,FALSE)</f>
        <v>0.9</v>
      </c>
      <c r="G5" s="44"/>
      <c r="H5" s="45" t="s">
        <v>10</v>
      </c>
    </row>
    <row r="6" spans="1:26" ht="14.4" customHeight="1">
      <c r="A6" s="43" t="s">
        <v>175</v>
      </c>
      <c r="B6" s="44"/>
      <c r="C6" s="46">
        <f>VLOOKUP(C3,Materials3[],3,FALSE)</f>
        <v>13</v>
      </c>
      <c r="D6" s="46">
        <f>VLOOKUP(D3,Materials3[],3,FALSE)</f>
        <v>12</v>
      </c>
      <c r="E6" s="46">
        <f>VLOOKUP(E3,Materials3[],3,FALSE)</f>
        <v>1</v>
      </c>
      <c r="F6" s="46">
        <f>VLOOKUP(F3,Materials3[],3,FALSE)</f>
        <v>13</v>
      </c>
      <c r="G6" s="44"/>
      <c r="H6" s="47" t="s">
        <v>37</v>
      </c>
    </row>
    <row r="7" spans="1:26" ht="17.5">
      <c r="A7" s="43" t="s">
        <v>177</v>
      </c>
      <c r="B7" s="228">
        <v>14</v>
      </c>
      <c r="C7" s="44" t="str">
        <f>H7</f>
        <v>W/m²K</v>
      </c>
      <c r="D7" s="44"/>
      <c r="E7" s="44"/>
      <c r="F7" s="48" t="s">
        <v>169</v>
      </c>
      <c r="G7" s="229">
        <v>7</v>
      </c>
      <c r="H7" s="45" t="s">
        <v>0</v>
      </c>
    </row>
    <row r="8" spans="1:26" ht="15" customHeight="1">
      <c r="A8" s="111" t="s">
        <v>214</v>
      </c>
      <c r="B8" s="258" t="s">
        <v>251</v>
      </c>
      <c r="C8" s="258"/>
      <c r="D8" s="112" t="s">
        <v>215</v>
      </c>
      <c r="E8" s="230" t="s">
        <v>193</v>
      </c>
      <c r="F8" s="112"/>
      <c r="G8" s="112"/>
      <c r="H8" s="206"/>
    </row>
    <row r="9" spans="1:26" ht="14.4" customHeight="1">
      <c r="A9" s="43" t="s">
        <v>176</v>
      </c>
      <c r="B9" s="44">
        <f>VLOOKUP($E$8,Month,2,FALSE)</f>
        <v>0.8</v>
      </c>
      <c r="C9" s="44" t="str">
        <f>H9</f>
        <v>°C</v>
      </c>
      <c r="D9" s="44"/>
      <c r="E9" s="44"/>
      <c r="F9" s="48" t="s">
        <v>168</v>
      </c>
      <c r="G9" s="229">
        <v>21</v>
      </c>
      <c r="H9" s="45" t="s">
        <v>18</v>
      </c>
    </row>
    <row r="10" spans="1:26" ht="16.75" customHeight="1">
      <c r="A10" s="43" t="s">
        <v>272</v>
      </c>
      <c r="B10" s="44">
        <f>VLOOKUP($E$8,Month,3,FALSE)</f>
        <v>75</v>
      </c>
      <c r="C10" s="44" t="str">
        <f>H10</f>
        <v>%</v>
      </c>
      <c r="D10" s="44"/>
      <c r="E10" s="44"/>
      <c r="F10" s="241" t="s">
        <v>273</v>
      </c>
      <c r="G10" s="229">
        <v>35</v>
      </c>
      <c r="H10" s="45" t="s">
        <v>146</v>
      </c>
    </row>
    <row r="11" spans="1:26" ht="16.25" customHeight="1">
      <c r="A11" s="49" t="s">
        <v>15</v>
      </c>
      <c r="B11" s="32"/>
      <c r="C11" s="33"/>
      <c r="D11" s="33"/>
      <c r="E11" s="33"/>
      <c r="F11" s="33"/>
      <c r="G11" s="101" t="s">
        <v>213</v>
      </c>
      <c r="H11" s="34"/>
    </row>
    <row r="12" spans="1:26" ht="12.65" customHeight="1">
      <c r="A12" s="50" t="s">
        <v>222</v>
      </c>
      <c r="B12" s="51"/>
      <c r="C12" s="51">
        <v>0</v>
      </c>
      <c r="D12" s="52">
        <f>C4</f>
        <v>0.01</v>
      </c>
      <c r="E12" s="52">
        <f>D12+D4</f>
        <v>0.21000000000000002</v>
      </c>
      <c r="F12" s="52">
        <f>E12+E4</f>
        <v>0.36</v>
      </c>
      <c r="G12" s="15">
        <f>F12+F4</f>
        <v>0.37</v>
      </c>
      <c r="H12" s="53" t="s">
        <v>2</v>
      </c>
    </row>
    <row r="13" spans="1:26" ht="12" customHeight="1">
      <c r="A13" s="54" t="s">
        <v>170</v>
      </c>
      <c r="B13" s="51">
        <f>1/B7</f>
        <v>7.1428571428571425E-2</v>
      </c>
      <c r="C13" s="52">
        <f>C4/C5</f>
        <v>1.1111111111111112E-2</v>
      </c>
      <c r="D13" s="52">
        <f>D4/D5</f>
        <v>0.33333333333333337</v>
      </c>
      <c r="E13" s="52">
        <f>E4/E5</f>
        <v>3.75</v>
      </c>
      <c r="F13" s="52">
        <f>F4/F5</f>
        <v>1.1111111111111112E-2</v>
      </c>
      <c r="G13" s="51">
        <f>1/G7</f>
        <v>0.14285714285714285</v>
      </c>
      <c r="H13" s="55" t="s">
        <v>13</v>
      </c>
    </row>
    <row r="14" spans="1:26" ht="12.65" customHeight="1">
      <c r="A14" s="54" t="s">
        <v>11</v>
      </c>
      <c r="B14" s="56"/>
      <c r="C14" s="56"/>
      <c r="D14" s="56"/>
      <c r="E14" s="56"/>
      <c r="F14" s="56"/>
      <c r="G14" s="51">
        <f>SUM(B13:G13)</f>
        <v>4.3198412698412705</v>
      </c>
      <c r="H14" s="55" t="s">
        <v>13</v>
      </c>
      <c r="Z14" s="58"/>
    </row>
    <row r="15" spans="1:26" ht="13.25" customHeight="1">
      <c r="A15" s="50" t="s">
        <v>144</v>
      </c>
      <c r="B15" s="15"/>
      <c r="C15" s="15"/>
      <c r="D15" s="15"/>
      <c r="E15" s="15"/>
      <c r="F15" s="15"/>
      <c r="G15" s="57">
        <f>1/G14</f>
        <v>0.23148998713944513</v>
      </c>
      <c r="H15" s="53" t="s">
        <v>0</v>
      </c>
    </row>
    <row r="16" spans="1:26" ht="9.65" customHeight="1">
      <c r="A16" s="54" t="s">
        <v>17</v>
      </c>
      <c r="B16" s="56"/>
      <c r="C16" s="56"/>
      <c r="D16" s="56"/>
      <c r="E16" s="56"/>
      <c r="F16" s="56"/>
      <c r="G16" s="51">
        <f>1/(1/G7+C4/C5+D4/D5+E4/E5+F4/F5+1/B7)</f>
        <v>0.23148998713944519</v>
      </c>
      <c r="H16" s="55" t="s">
        <v>0</v>
      </c>
    </row>
    <row r="17" spans="1:10" ht="16.75" customHeight="1">
      <c r="A17" s="50" t="s">
        <v>140</v>
      </c>
      <c r="B17" s="15"/>
      <c r="C17" s="15"/>
      <c r="D17" s="15"/>
      <c r="E17" s="15"/>
      <c r="F17" s="15"/>
      <c r="G17" s="57">
        <f>G15*(G9-B9)</f>
        <v>4.6760977402167914</v>
      </c>
      <c r="H17" s="53" t="s">
        <v>139</v>
      </c>
      <c r="I17" s="31"/>
    </row>
    <row r="18" spans="1:10" ht="11.4" customHeight="1">
      <c r="A18" s="59" t="s">
        <v>156</v>
      </c>
      <c r="B18" s="60"/>
      <c r="C18" s="60"/>
      <c r="D18" s="60"/>
      <c r="E18" s="60"/>
      <c r="F18" s="60"/>
      <c r="G18" s="60"/>
      <c r="H18" s="61"/>
      <c r="J18" s="226"/>
    </row>
    <row r="19" spans="1:10" ht="9.65" customHeight="1">
      <c r="A19" s="62" t="s">
        <v>145</v>
      </c>
      <c r="B19" s="63"/>
      <c r="C19" s="63">
        <f>C6*C4</f>
        <v>0.13</v>
      </c>
      <c r="D19" s="63">
        <f>D6*D4</f>
        <v>2.4000000000000004</v>
      </c>
      <c r="E19" s="63">
        <f>E6*E4</f>
        <v>0.15</v>
      </c>
      <c r="F19" s="63">
        <f>F6*F4</f>
        <v>0.13</v>
      </c>
      <c r="G19" s="63"/>
      <c r="H19" s="64" t="s">
        <v>2</v>
      </c>
    </row>
    <row r="20" spans="1:10" ht="11.4" customHeight="1">
      <c r="A20" s="62" t="s">
        <v>171</v>
      </c>
      <c r="B20" s="65">
        <f>1/(6.67*10^(-4))</f>
        <v>1499.2503748125935</v>
      </c>
      <c r="C20" s="65">
        <f>C19*1.39*10^6</f>
        <v>180700</v>
      </c>
      <c r="D20" s="65">
        <f>D19*1.39*10^6</f>
        <v>3336000.0000000005</v>
      </c>
      <c r="E20" s="65">
        <f>E19*1.39*10^6</f>
        <v>208500</v>
      </c>
      <c r="F20" s="65">
        <f>F19*1.39*10^6</f>
        <v>180700</v>
      </c>
      <c r="G20" s="65">
        <f>1/(1.25*10^(-4))</f>
        <v>8000</v>
      </c>
      <c r="H20" s="64" t="s">
        <v>147</v>
      </c>
    </row>
    <row r="21" spans="1:10" ht="10.75" customHeight="1">
      <c r="A21" s="62" t="s">
        <v>178</v>
      </c>
      <c r="B21" s="65">
        <f>B20</f>
        <v>1499.2503748125935</v>
      </c>
      <c r="C21" s="65">
        <f>B21+C20</f>
        <v>182199.2503748126</v>
      </c>
      <c r="D21" s="65">
        <f>C21+D20</f>
        <v>3518199.2503748131</v>
      </c>
      <c r="E21" s="65">
        <f>D21+E20</f>
        <v>3726699.2503748131</v>
      </c>
      <c r="F21" s="65">
        <f>E21+F20</f>
        <v>3907399.2503748131</v>
      </c>
      <c r="G21" s="65">
        <f>SUM(B20:G20)</f>
        <v>3915399.2503748131</v>
      </c>
      <c r="H21" s="64" t="s">
        <v>147</v>
      </c>
    </row>
    <row r="22" spans="1:10" ht="12" customHeight="1">
      <c r="A22" s="66" t="s">
        <v>179</v>
      </c>
      <c r="B22" s="67"/>
      <c r="C22" s="67"/>
      <c r="D22" s="67"/>
      <c r="E22" s="67"/>
      <c r="F22" s="67"/>
      <c r="G22" s="68">
        <f>(H27-B27)/G21</f>
        <v>9.8225159873956375E-5</v>
      </c>
      <c r="H22" s="69" t="s">
        <v>149</v>
      </c>
    </row>
    <row r="23" spans="1:10" ht="19.25" customHeight="1">
      <c r="A23" s="101" t="s">
        <v>221</v>
      </c>
      <c r="B23" s="115" t="s">
        <v>153</v>
      </c>
      <c r="C23" s="115" t="s">
        <v>152</v>
      </c>
      <c r="D23" s="115" t="s">
        <v>151</v>
      </c>
      <c r="E23" s="115" t="s">
        <v>233</v>
      </c>
      <c r="F23" s="115" t="s">
        <v>172</v>
      </c>
      <c r="G23" s="115" t="s">
        <v>173</v>
      </c>
      <c r="H23" s="115" t="s">
        <v>154</v>
      </c>
      <c r="I23" s="116"/>
    </row>
    <row r="24" spans="1:10" ht="15.65" customHeight="1">
      <c r="A24" s="114" t="s">
        <v>158</v>
      </c>
      <c r="B24" s="113">
        <f>-$G$12/10</f>
        <v>-3.6999999999999998E-2</v>
      </c>
      <c r="C24" s="113">
        <f>C12</f>
        <v>0</v>
      </c>
      <c r="D24" s="113">
        <f>D12</f>
        <v>0.01</v>
      </c>
      <c r="E24" s="113">
        <f>E12</f>
        <v>0.21000000000000002</v>
      </c>
      <c r="F24" s="113">
        <f>F12</f>
        <v>0.36</v>
      </c>
      <c r="G24" s="100">
        <f>G12</f>
        <v>0.37</v>
      </c>
      <c r="H24" s="113">
        <f>G12*1.1</f>
        <v>0.40700000000000003</v>
      </c>
      <c r="I24" s="212" t="s">
        <v>2</v>
      </c>
    </row>
    <row r="25" spans="1:10" ht="13.25" customHeight="1">
      <c r="A25" s="57" t="s">
        <v>234</v>
      </c>
      <c r="B25" s="100">
        <f>B9</f>
        <v>0.8</v>
      </c>
      <c r="C25" s="100">
        <f t="shared" ref="C25:H25" si="0">B25+$G$17*B13</f>
        <v>1.1340069814440565</v>
      </c>
      <c r="D25" s="100">
        <f t="shared" si="0"/>
        <v>1.185963623002021</v>
      </c>
      <c r="E25" s="100">
        <f t="shared" si="0"/>
        <v>2.7446628697409516</v>
      </c>
      <c r="F25" s="100">
        <f t="shared" si="0"/>
        <v>20.280029395553921</v>
      </c>
      <c r="G25" s="100">
        <f t="shared" si="0"/>
        <v>20.331986037111886</v>
      </c>
      <c r="H25" s="100">
        <f t="shared" si="0"/>
        <v>21</v>
      </c>
      <c r="I25" s="212" t="s">
        <v>18</v>
      </c>
    </row>
    <row r="26" spans="1:10" ht="10.25" customHeight="1">
      <c r="A26" s="62" t="s">
        <v>220</v>
      </c>
      <c r="B26" s="70">
        <f>288.68*(1.098+B9/100)^8.02</f>
        <v>647.6387336375019</v>
      </c>
      <c r="C26" s="70">
        <f>288.68*(1.098+C25/100)^8.02</f>
        <v>663.49184904556148</v>
      </c>
      <c r="D26" s="70">
        <f>288.68*(1.098+D25/100)^8.02</f>
        <v>665.98816967063874</v>
      </c>
      <c r="E26" s="70">
        <f>288.68*(1.098+E25/100)^8.02</f>
        <v>744.80473896037131</v>
      </c>
      <c r="F26" s="70">
        <f>288.68*(1.098+F25/100)^8.02</f>
        <v>2378.9533196073789</v>
      </c>
      <c r="G26" s="70">
        <f>288.68*(1.098+G25/100)^8.02</f>
        <v>2386.584639526397</v>
      </c>
      <c r="H26" s="70">
        <f>288.68*(1.098+G9/100)^8.02</f>
        <v>2486.6279073330325</v>
      </c>
      <c r="I26" s="120" t="s">
        <v>148</v>
      </c>
    </row>
    <row r="27" spans="1:10" ht="10.25" customHeight="1">
      <c r="A27" s="62" t="s">
        <v>219</v>
      </c>
      <c r="B27" s="70">
        <f>B26*B10/100</f>
        <v>485.72905022812643</v>
      </c>
      <c r="C27" s="70">
        <f>B27+$G$22*B20</f>
        <v>485.87631433588348</v>
      </c>
      <c r="D27" s="70">
        <f>C27+$G$22*C20</f>
        <v>503.6256007251074</v>
      </c>
      <c r="E27" s="70">
        <f>D27+$G$22*D20</f>
        <v>831.3047340646259</v>
      </c>
      <c r="F27" s="70">
        <f>E27+$G$22*E20</f>
        <v>851.78467989834576</v>
      </c>
      <c r="G27" s="70">
        <f>F27+$G$22*F20</f>
        <v>869.53396628756968</v>
      </c>
      <c r="H27" s="70">
        <f>H26*G10/100</f>
        <v>870.31976756656138</v>
      </c>
      <c r="I27" s="120" t="s">
        <v>148</v>
      </c>
    </row>
    <row r="28" spans="1:10" ht="10.25" customHeight="1">
      <c r="A28" s="62" t="s">
        <v>178</v>
      </c>
      <c r="B28" s="63">
        <v>0</v>
      </c>
      <c r="C28" s="65">
        <f t="shared" ref="C28:H28" si="1">B21</f>
        <v>1499.2503748125935</v>
      </c>
      <c r="D28" s="65">
        <f t="shared" si="1"/>
        <v>182199.2503748126</v>
      </c>
      <c r="E28" s="65">
        <f t="shared" si="1"/>
        <v>3518199.2503748131</v>
      </c>
      <c r="F28" s="65">
        <f t="shared" si="1"/>
        <v>3726699.2503748131</v>
      </c>
      <c r="G28" s="65">
        <f t="shared" si="1"/>
        <v>3907399.2503748131</v>
      </c>
      <c r="H28" s="65">
        <f t="shared" si="1"/>
        <v>3915399.2503748131</v>
      </c>
      <c r="I28" s="72" t="s">
        <v>147</v>
      </c>
    </row>
    <row r="29" spans="1:10" ht="10.25" customHeight="1">
      <c r="A29" s="71" t="s">
        <v>186</v>
      </c>
      <c r="B29" s="210">
        <f>-B20/(1.5*10^6)</f>
        <v>-9.9950024987506222E-4</v>
      </c>
      <c r="C29" s="210">
        <v>0</v>
      </c>
      <c r="D29" s="210">
        <f>C29+C19</f>
        <v>0.13</v>
      </c>
      <c r="E29" s="210">
        <f>D29+D19</f>
        <v>2.5300000000000002</v>
      </c>
      <c r="F29" s="210">
        <f>E29+E19</f>
        <v>2.68</v>
      </c>
      <c r="G29" s="210">
        <f>F29+F19</f>
        <v>2.81</v>
      </c>
      <c r="H29" s="210">
        <f>G29+G20/(1.5*10^6)</f>
        <v>2.8153333333333332</v>
      </c>
      <c r="I29" s="211" t="s">
        <v>147</v>
      </c>
    </row>
    <row r="30" spans="1:10" ht="10.25" customHeight="1">
      <c r="A30" s="208"/>
      <c r="B30" s="209"/>
      <c r="C30" s="209"/>
      <c r="D30" s="209"/>
      <c r="E30" s="209"/>
      <c r="F30" s="209"/>
      <c r="G30" s="209"/>
      <c r="H30" s="209"/>
    </row>
    <row r="31" spans="1:10" ht="10.25" customHeight="1">
      <c r="H31" s="209"/>
    </row>
    <row r="32" spans="1:10" ht="13.25" customHeight="1"/>
    <row r="33" spans="1:15" ht="9.65" customHeight="1">
      <c r="A33" s="74" t="s">
        <v>180</v>
      </c>
      <c r="B33" s="93" t="s">
        <v>155</v>
      </c>
      <c r="C33" s="94"/>
      <c r="D33" s="93" t="s">
        <v>157</v>
      </c>
      <c r="E33" s="95"/>
      <c r="F33" s="95"/>
      <c r="G33" s="95"/>
    </row>
    <row r="34" spans="1:15" ht="9.65" customHeight="1">
      <c r="A34" s="75"/>
      <c r="B34" s="76">
        <f>MAX(B25:H25)+1</f>
        <v>22</v>
      </c>
      <c r="C34" s="77">
        <f>MIN(B25:H25)-1</f>
        <v>-0.19999999999999996</v>
      </c>
      <c r="D34" s="78">
        <f>MAX(B26:G27)+300</f>
        <v>2686.584639526397</v>
      </c>
      <c r="E34" s="79">
        <f>MIN(B26:G27)-300</f>
        <v>185.72905022812643</v>
      </c>
      <c r="F34" s="79">
        <f>D34</f>
        <v>2686.584639526397</v>
      </c>
      <c r="G34" s="80">
        <f>E34</f>
        <v>185.72905022812643</v>
      </c>
    </row>
    <row r="35" spans="1:15" ht="14.4" customHeight="1">
      <c r="A35" s="81" t="s">
        <v>153</v>
      </c>
      <c r="B35" s="82">
        <v>0</v>
      </c>
      <c r="C35" s="83">
        <f>B35</f>
        <v>0</v>
      </c>
      <c r="D35" s="82">
        <v>0</v>
      </c>
      <c r="E35" s="84">
        <f>D35</f>
        <v>0</v>
      </c>
      <c r="F35" s="82">
        <f>C29</f>
        <v>0</v>
      </c>
      <c r="G35" s="84">
        <f>F35</f>
        <v>0</v>
      </c>
    </row>
    <row r="36" spans="1:15" ht="9.65" customHeight="1">
      <c r="A36" s="81" t="s">
        <v>141</v>
      </c>
      <c r="B36" s="82">
        <f>D12</f>
        <v>0.01</v>
      </c>
      <c r="C36" s="83">
        <f>B36</f>
        <v>0.01</v>
      </c>
      <c r="D36" s="82">
        <f>B36</f>
        <v>0.01</v>
      </c>
      <c r="E36" s="84">
        <f>D36</f>
        <v>0.01</v>
      </c>
      <c r="F36" s="82">
        <f>D29</f>
        <v>0.13</v>
      </c>
      <c r="G36" s="84">
        <f>F36</f>
        <v>0.13</v>
      </c>
    </row>
    <row r="37" spans="1:15" ht="9.65" customHeight="1">
      <c r="A37" s="81" t="s">
        <v>142</v>
      </c>
      <c r="B37" s="82">
        <f>E12</f>
        <v>0.21000000000000002</v>
      </c>
      <c r="C37" s="83">
        <f>B37</f>
        <v>0.21000000000000002</v>
      </c>
      <c r="D37" s="82">
        <f>B37</f>
        <v>0.21000000000000002</v>
      </c>
      <c r="E37" s="84">
        <f>D37</f>
        <v>0.21000000000000002</v>
      </c>
      <c r="F37" s="82">
        <f>E29</f>
        <v>2.5300000000000002</v>
      </c>
      <c r="G37" s="84">
        <f>F37</f>
        <v>2.5300000000000002</v>
      </c>
    </row>
    <row r="38" spans="1:15" ht="9.65" customHeight="1">
      <c r="A38" s="81" t="s">
        <v>143</v>
      </c>
      <c r="B38" s="82">
        <f>F12</f>
        <v>0.36</v>
      </c>
      <c r="C38" s="83">
        <f>B38</f>
        <v>0.36</v>
      </c>
      <c r="D38" s="82">
        <f>B38</f>
        <v>0.36</v>
      </c>
      <c r="E38" s="84">
        <f>D38</f>
        <v>0.36</v>
      </c>
      <c r="F38" s="82">
        <f>F29</f>
        <v>2.68</v>
      </c>
      <c r="G38" s="84">
        <f>F38</f>
        <v>2.68</v>
      </c>
    </row>
    <row r="39" spans="1:15" ht="9.65" customHeight="1">
      <c r="A39" s="85" t="s">
        <v>154</v>
      </c>
      <c r="B39" s="86">
        <f>G12</f>
        <v>0.37</v>
      </c>
      <c r="C39" s="87">
        <f>B39</f>
        <v>0.37</v>
      </c>
      <c r="D39" s="88">
        <f>B39</f>
        <v>0.37</v>
      </c>
      <c r="E39" s="89">
        <f>D39</f>
        <v>0.37</v>
      </c>
      <c r="F39" s="88">
        <f>G29</f>
        <v>2.81</v>
      </c>
      <c r="G39" s="89">
        <f>F39</f>
        <v>2.81</v>
      </c>
    </row>
    <row r="40" spans="1:15" ht="9.65" customHeight="1"/>
    <row r="41" spans="1:15" ht="9.65" customHeight="1"/>
    <row r="42" spans="1:15" ht="14.4" customHeight="1">
      <c r="I42" s="92"/>
    </row>
    <row r="44" spans="1:15">
      <c r="B44" s="207"/>
      <c r="C44" s="99"/>
      <c r="D44" s="99"/>
      <c r="E44" s="99"/>
      <c r="F44" s="99"/>
      <c r="G44" s="99"/>
      <c r="H44" s="99"/>
    </row>
    <row r="45" spans="1:15">
      <c r="B45" s="207"/>
      <c r="C45" s="99"/>
      <c r="D45" s="99"/>
      <c r="E45" s="99"/>
      <c r="F45" s="99"/>
    </row>
    <row r="47" spans="1:15">
      <c r="G47" s="128"/>
      <c r="H47" s="143"/>
      <c r="I47" s="137" t="s">
        <v>150</v>
      </c>
      <c r="J47" s="138" t="s">
        <v>152</v>
      </c>
      <c r="K47" s="138" t="s">
        <v>151</v>
      </c>
      <c r="L47" s="138" t="s">
        <v>233</v>
      </c>
      <c r="M47" s="138" t="s">
        <v>172</v>
      </c>
      <c r="N47" s="138" t="s">
        <v>173</v>
      </c>
      <c r="O47" s="139" t="s">
        <v>174</v>
      </c>
    </row>
    <row r="48" spans="1:15">
      <c r="A48" s="130"/>
      <c r="B48" s="252" t="s">
        <v>207</v>
      </c>
      <c r="C48" s="253"/>
      <c r="D48" s="252" t="s">
        <v>154</v>
      </c>
      <c r="E48" s="257"/>
      <c r="G48" s="224" t="s">
        <v>222</v>
      </c>
      <c r="H48" s="224" t="s">
        <v>2</v>
      </c>
      <c r="I48" s="222">
        <f t="shared" ref="I48:O48" si="2">B24</f>
        <v>-3.6999999999999998E-2</v>
      </c>
      <c r="J48" s="222">
        <f t="shared" si="2"/>
        <v>0</v>
      </c>
      <c r="K48" s="222">
        <f t="shared" si="2"/>
        <v>0.01</v>
      </c>
      <c r="L48" s="222">
        <f t="shared" si="2"/>
        <v>0.21000000000000002</v>
      </c>
      <c r="M48" s="222">
        <f t="shared" si="2"/>
        <v>0.36</v>
      </c>
      <c r="N48" s="222">
        <f t="shared" si="2"/>
        <v>0.37</v>
      </c>
      <c r="O48" s="225">
        <f t="shared" si="2"/>
        <v>0.40700000000000003</v>
      </c>
    </row>
    <row r="49" spans="1:23">
      <c r="A49" s="128"/>
      <c r="B49" s="132" t="s">
        <v>208</v>
      </c>
      <c r="C49" s="133" t="s">
        <v>206</v>
      </c>
      <c r="D49" s="132" t="s">
        <v>208</v>
      </c>
      <c r="E49" s="134" t="s">
        <v>206</v>
      </c>
      <c r="F49" s="73"/>
      <c r="G49" s="128"/>
      <c r="H49" s="223" t="s">
        <v>209</v>
      </c>
      <c r="I49" s="247" t="s">
        <v>134</v>
      </c>
      <c r="J49" s="248"/>
      <c r="K49" s="248"/>
      <c r="L49" s="248"/>
      <c r="M49" s="248"/>
      <c r="N49" s="248"/>
      <c r="O49" s="249"/>
    </row>
    <row r="50" spans="1:23">
      <c r="A50" s="129"/>
      <c r="B50" s="135" t="s">
        <v>18</v>
      </c>
      <c r="C50" s="136" t="s">
        <v>146</v>
      </c>
      <c r="D50" s="135" t="s">
        <v>18</v>
      </c>
      <c r="E50" s="221" t="s">
        <v>146</v>
      </c>
      <c r="F50" s="73"/>
      <c r="G50" s="129"/>
      <c r="H50" s="163" t="s">
        <v>139</v>
      </c>
      <c r="I50" s="140" t="s">
        <v>18</v>
      </c>
      <c r="J50" s="141" t="s">
        <v>18</v>
      </c>
      <c r="K50" s="141" t="s">
        <v>18</v>
      </c>
      <c r="L50" s="141" t="s">
        <v>18</v>
      </c>
      <c r="M50" s="141" t="s">
        <v>18</v>
      </c>
      <c r="N50" s="141" t="s">
        <v>18</v>
      </c>
      <c r="O50" s="142" t="s">
        <v>18</v>
      </c>
    </row>
    <row r="51" spans="1:23">
      <c r="A51" s="147" t="s">
        <v>192</v>
      </c>
      <c r="B51" s="148">
        <f>VLOOKUP($B$8,Climates[],2,FALSE)</f>
        <v>-1.3</v>
      </c>
      <c r="C51" s="149">
        <f>VLOOKUP($B$8,Climates[],15,FALSE)</f>
        <v>82</v>
      </c>
      <c r="D51" s="148">
        <f t="shared" ref="D51:D62" si="3">$G$9</f>
        <v>21</v>
      </c>
      <c r="E51" s="150">
        <f>$G$10</f>
        <v>35</v>
      </c>
      <c r="F51" s="73"/>
      <c r="G51" s="147" t="s">
        <v>192</v>
      </c>
      <c r="H51" s="151">
        <f t="shared" ref="H51:H62" si="4">$G$15*(D51-B51)</f>
        <v>5.1622267132096269</v>
      </c>
      <c r="I51" s="151">
        <f t="shared" ref="I51:I62" si="5">B51</f>
        <v>-1.3</v>
      </c>
      <c r="J51" s="152">
        <f t="shared" ref="J51:J62" si="6">I51+$H51*B$13</f>
        <v>-0.93126952048502676</v>
      </c>
      <c r="K51" s="152">
        <f t="shared" ref="K51:K62" si="7">J51+$H51*C$13</f>
        <v>-0.87391144589380865</v>
      </c>
      <c r="L51" s="166">
        <f t="shared" ref="L51:L62" si="8">K51+$H51*D$13</f>
        <v>0.8468307918427338</v>
      </c>
      <c r="M51" s="152">
        <f t="shared" ref="M51:M62" si="9">L51+$H51*E$13</f>
        <v>20.205180966378833</v>
      </c>
      <c r="N51" s="152">
        <f t="shared" ref="N51:N62" si="10">M51+$H51*F$13</f>
        <v>20.262539040970051</v>
      </c>
      <c r="O51" s="153">
        <f t="shared" ref="O51:O62" si="11">N51+$H51*G$13</f>
        <v>20.999999999999996</v>
      </c>
    </row>
    <row r="52" spans="1:23">
      <c r="A52" s="123" t="s">
        <v>193</v>
      </c>
      <c r="B52" s="131">
        <f>VLOOKUP($B8,Climates[],3,FALSE)</f>
        <v>0.8</v>
      </c>
      <c r="C52" s="124">
        <f>VLOOKUP($B$8,Climates[],16,FALSE)</f>
        <v>75</v>
      </c>
      <c r="D52" s="131">
        <f t="shared" si="3"/>
        <v>21</v>
      </c>
      <c r="E52" s="122">
        <f>$G$10</f>
        <v>35</v>
      </c>
      <c r="F52" s="73"/>
      <c r="G52" s="123" t="s">
        <v>193</v>
      </c>
      <c r="H52" s="154">
        <f t="shared" si="4"/>
        <v>4.6760977402167914</v>
      </c>
      <c r="I52" s="154">
        <f t="shared" si="5"/>
        <v>0.8</v>
      </c>
      <c r="J52" s="155">
        <f t="shared" si="6"/>
        <v>1.1340069814440565</v>
      </c>
      <c r="K52" s="155">
        <f t="shared" si="7"/>
        <v>1.185963623002021</v>
      </c>
      <c r="L52" s="165">
        <f t="shared" si="8"/>
        <v>2.7446628697409516</v>
      </c>
      <c r="M52" s="155">
        <f t="shared" si="9"/>
        <v>20.280029395553921</v>
      </c>
      <c r="N52" s="155">
        <f t="shared" si="10"/>
        <v>20.331986037111886</v>
      </c>
      <c r="O52" s="156">
        <f t="shared" si="11"/>
        <v>21</v>
      </c>
    </row>
    <row r="53" spans="1:23">
      <c r="A53" s="144" t="s">
        <v>194</v>
      </c>
      <c r="B53" s="145">
        <f>VLOOKUP($B8,Climates[],4,FALSE)</f>
        <v>5.6</v>
      </c>
      <c r="C53" s="119">
        <f>VLOOKUP($B$8,Climates[],17,FALSE)</f>
        <v>68</v>
      </c>
      <c r="D53" s="145">
        <f t="shared" si="3"/>
        <v>21</v>
      </c>
      <c r="E53" s="146">
        <f>$G$10</f>
        <v>35</v>
      </c>
      <c r="F53" s="73"/>
      <c r="G53" s="144" t="s">
        <v>194</v>
      </c>
      <c r="H53" s="157">
        <f t="shared" si="4"/>
        <v>3.5649458019474549</v>
      </c>
      <c r="I53" s="157">
        <f t="shared" si="5"/>
        <v>5.6</v>
      </c>
      <c r="J53" s="158">
        <f t="shared" si="6"/>
        <v>5.8546389858533896</v>
      </c>
      <c r="K53" s="158">
        <f t="shared" si="7"/>
        <v>5.8942494947639172</v>
      </c>
      <c r="L53" s="164">
        <f t="shared" si="8"/>
        <v>7.0825647620797358</v>
      </c>
      <c r="M53" s="158">
        <f t="shared" si="9"/>
        <v>20.451111519382692</v>
      </c>
      <c r="N53" s="158">
        <f t="shared" si="10"/>
        <v>20.49072202829322</v>
      </c>
      <c r="O53" s="159">
        <f t="shared" si="11"/>
        <v>21</v>
      </c>
    </row>
    <row r="54" spans="1:23">
      <c r="A54" s="123" t="s">
        <v>195</v>
      </c>
      <c r="B54" s="131">
        <f>VLOOKUP($B8,Climates[],5,FALSE)</f>
        <v>10.3</v>
      </c>
      <c r="C54" s="124">
        <f>VLOOKUP($B$8,Climates[],18,FALSE)</f>
        <v>63</v>
      </c>
      <c r="D54" s="131">
        <f t="shared" si="3"/>
        <v>21</v>
      </c>
      <c r="E54" s="122">
        <f>$G$10</f>
        <v>35</v>
      </c>
      <c r="F54" s="73"/>
      <c r="G54" s="123" t="s">
        <v>195</v>
      </c>
      <c r="H54" s="154">
        <f t="shared" si="4"/>
        <v>2.4769428623920628</v>
      </c>
      <c r="I54" s="154">
        <f t="shared" si="5"/>
        <v>10.3</v>
      </c>
      <c r="J54" s="155">
        <f t="shared" si="6"/>
        <v>10.476924490170862</v>
      </c>
      <c r="K54" s="155">
        <f t="shared" si="7"/>
        <v>10.504446077530774</v>
      </c>
      <c r="L54" s="165">
        <f t="shared" si="8"/>
        <v>11.330093698328129</v>
      </c>
      <c r="M54" s="155">
        <f t="shared" si="9"/>
        <v>20.618629432298363</v>
      </c>
      <c r="N54" s="155">
        <f t="shared" si="10"/>
        <v>20.646151019658273</v>
      </c>
      <c r="O54" s="156">
        <f t="shared" si="11"/>
        <v>20.999999999999996</v>
      </c>
    </row>
    <row r="55" spans="1:23">
      <c r="A55" s="144" t="s">
        <v>196</v>
      </c>
      <c r="B55" s="145">
        <f>VLOOKUP($B$8,Climates[],6,FALSE)</f>
        <v>14.4</v>
      </c>
      <c r="C55" s="119">
        <f>VLOOKUP($B$8,Climates[],19,FALSE)</f>
        <v>66</v>
      </c>
      <c r="D55" s="145">
        <f t="shared" si="3"/>
        <v>21</v>
      </c>
      <c r="E55" s="146">
        <f>$G$10</f>
        <v>35</v>
      </c>
      <c r="F55" s="73"/>
      <c r="G55" s="144" t="s">
        <v>196</v>
      </c>
      <c r="H55" s="157">
        <f t="shared" si="4"/>
        <v>1.5278339151203377</v>
      </c>
      <c r="I55" s="157">
        <f t="shared" si="5"/>
        <v>14.4</v>
      </c>
      <c r="J55" s="158">
        <f t="shared" si="6"/>
        <v>14.509130993937168</v>
      </c>
      <c r="K55" s="158">
        <f t="shared" si="7"/>
        <v>14.526106926327394</v>
      </c>
      <c r="L55" s="164">
        <f t="shared" si="8"/>
        <v>15.035384898034174</v>
      </c>
      <c r="M55" s="158">
        <f t="shared" si="9"/>
        <v>20.764762079735441</v>
      </c>
      <c r="N55" s="158">
        <f t="shared" si="10"/>
        <v>20.781738012125668</v>
      </c>
      <c r="O55" s="159">
        <f t="shared" si="11"/>
        <v>21.000000000000004</v>
      </c>
    </row>
    <row r="56" spans="1:23">
      <c r="A56" s="123" t="s">
        <v>197</v>
      </c>
      <c r="B56" s="131">
        <f>VLOOKUP($B$8,Climates[],7,FALSE)</f>
        <v>17.899999999999999</v>
      </c>
      <c r="C56" s="124">
        <f>VLOOKUP($B$8,Climates[],20,FALSE)</f>
        <v>67</v>
      </c>
      <c r="D56" s="131">
        <f t="shared" si="3"/>
        <v>21</v>
      </c>
      <c r="E56" s="122">
        <f t="shared" ref="E56:E62" si="12">$G$10</f>
        <v>35</v>
      </c>
      <c r="F56" s="73"/>
      <c r="G56" s="123" t="s">
        <v>197</v>
      </c>
      <c r="H56" s="154">
        <f t="shared" si="4"/>
        <v>0.71761896013228021</v>
      </c>
      <c r="I56" s="154">
        <f t="shared" si="5"/>
        <v>17.899999999999999</v>
      </c>
      <c r="J56" s="155">
        <f t="shared" si="6"/>
        <v>17.951258497152303</v>
      </c>
      <c r="K56" s="155">
        <f t="shared" si="7"/>
        <v>17.959232041153772</v>
      </c>
      <c r="L56" s="165">
        <f t="shared" si="8"/>
        <v>18.198438361197866</v>
      </c>
      <c r="M56" s="155">
        <f t="shared" si="9"/>
        <v>20.889509461693915</v>
      </c>
      <c r="N56" s="155">
        <f t="shared" si="10"/>
        <v>20.897483005695385</v>
      </c>
      <c r="O56" s="156">
        <f t="shared" si="11"/>
        <v>20.999999999999996</v>
      </c>
    </row>
    <row r="57" spans="1:23">
      <c r="A57" s="144" t="s">
        <v>198</v>
      </c>
      <c r="B57" s="145">
        <f>VLOOKUP($B$8,Climates[],8,FALSE)</f>
        <v>18.899999999999999</v>
      </c>
      <c r="C57" s="119">
        <f>VLOOKUP($B$8,Climates[],21,FALSE)</f>
        <v>69</v>
      </c>
      <c r="D57" s="145">
        <f t="shared" si="3"/>
        <v>21</v>
      </c>
      <c r="E57" s="146">
        <f t="shared" si="12"/>
        <v>35</v>
      </c>
      <c r="G57" s="144" t="s">
        <v>198</v>
      </c>
      <c r="H57" s="157">
        <f t="shared" si="4"/>
        <v>0.48612897299283508</v>
      </c>
      <c r="I57" s="157">
        <f t="shared" si="5"/>
        <v>18.899999999999999</v>
      </c>
      <c r="J57" s="158">
        <f t="shared" si="6"/>
        <v>18.934723498070916</v>
      </c>
      <c r="K57" s="158">
        <f t="shared" si="7"/>
        <v>18.940124931104169</v>
      </c>
      <c r="L57" s="164">
        <f t="shared" si="8"/>
        <v>19.102167922101781</v>
      </c>
      <c r="M57" s="158">
        <f t="shared" si="9"/>
        <v>20.925151570824912</v>
      </c>
      <c r="N57" s="158">
        <f t="shared" si="10"/>
        <v>20.930553003858165</v>
      </c>
      <c r="O57" s="159">
        <f t="shared" si="11"/>
        <v>21</v>
      </c>
    </row>
    <row r="58" spans="1:23">
      <c r="A58" s="123" t="s">
        <v>199</v>
      </c>
      <c r="B58" s="131">
        <f>VLOOKUP($B$8,Climates[],9,FALSE)</f>
        <v>18.5</v>
      </c>
      <c r="C58" s="124">
        <f>VLOOKUP($B$8,Climates[],22,FALSE)</f>
        <v>71</v>
      </c>
      <c r="D58" s="131">
        <f t="shared" si="3"/>
        <v>21</v>
      </c>
      <c r="E58" s="122">
        <f t="shared" si="12"/>
        <v>35</v>
      </c>
      <c r="G58" s="123" t="s">
        <v>199</v>
      </c>
      <c r="H58" s="154">
        <f t="shared" si="4"/>
        <v>0.57872496784861283</v>
      </c>
      <c r="I58" s="154">
        <f t="shared" si="5"/>
        <v>18.5</v>
      </c>
      <c r="J58" s="155">
        <f t="shared" si="6"/>
        <v>18.541337497703474</v>
      </c>
      <c r="K58" s="155">
        <f t="shared" si="7"/>
        <v>18.547767775124015</v>
      </c>
      <c r="L58" s="165">
        <f t="shared" si="8"/>
        <v>18.74067609774022</v>
      </c>
      <c r="M58" s="155">
        <f t="shared" si="9"/>
        <v>20.910894727172519</v>
      </c>
      <c r="N58" s="155">
        <f t="shared" si="10"/>
        <v>20.91732500459306</v>
      </c>
      <c r="O58" s="156">
        <f t="shared" si="11"/>
        <v>21.000000000000004</v>
      </c>
    </row>
    <row r="59" spans="1:23">
      <c r="A59" s="144" t="s">
        <v>200</v>
      </c>
      <c r="B59" s="145">
        <f>VLOOKUP($B$8,Climates[],10,FALSE)</f>
        <v>14.2</v>
      </c>
      <c r="C59" s="119">
        <f>VLOOKUP($B$8,Climates[],23,FALSE)</f>
        <v>75</v>
      </c>
      <c r="D59" s="145">
        <f t="shared" si="3"/>
        <v>21</v>
      </c>
      <c r="E59" s="146">
        <f t="shared" si="12"/>
        <v>35</v>
      </c>
      <c r="G59" s="144" t="s">
        <v>200</v>
      </c>
      <c r="H59" s="157">
        <f t="shared" si="4"/>
        <v>1.5741319125482272</v>
      </c>
      <c r="I59" s="157">
        <f t="shared" si="5"/>
        <v>14.2</v>
      </c>
      <c r="J59" s="158">
        <f t="shared" si="6"/>
        <v>14.312437993753445</v>
      </c>
      <c r="K59" s="158">
        <f t="shared" si="7"/>
        <v>14.329928348337313</v>
      </c>
      <c r="L59" s="164">
        <f t="shared" si="8"/>
        <v>14.85463898585339</v>
      </c>
      <c r="M59" s="158">
        <f t="shared" si="9"/>
        <v>20.757633657909242</v>
      </c>
      <c r="N59" s="158">
        <f t="shared" si="10"/>
        <v>20.775124012493112</v>
      </c>
      <c r="O59" s="159">
        <f t="shared" si="11"/>
        <v>21.000000000000004</v>
      </c>
    </row>
    <row r="60" spans="1:23">
      <c r="A60" s="123" t="s">
        <v>201</v>
      </c>
      <c r="B60" s="131">
        <f>VLOOKUP($B$8,Climates[],11,FALSE)</f>
        <v>10</v>
      </c>
      <c r="C60" s="124">
        <f>VLOOKUP($B$8,Climates[],24,FALSE)</f>
        <v>76</v>
      </c>
      <c r="D60" s="131">
        <f t="shared" si="3"/>
        <v>21</v>
      </c>
      <c r="E60" s="122">
        <f t="shared" si="12"/>
        <v>35</v>
      </c>
      <c r="G60" s="123" t="s">
        <v>201</v>
      </c>
      <c r="H60" s="154">
        <f t="shared" si="4"/>
        <v>2.5463898585338964</v>
      </c>
      <c r="I60" s="154">
        <f t="shared" si="5"/>
        <v>10</v>
      </c>
      <c r="J60" s="155">
        <f t="shared" si="6"/>
        <v>10.181884989895279</v>
      </c>
      <c r="K60" s="155">
        <f t="shared" si="7"/>
        <v>10.210178210545655</v>
      </c>
      <c r="L60" s="165">
        <f t="shared" si="8"/>
        <v>11.058974830056954</v>
      </c>
      <c r="M60" s="155">
        <f t="shared" si="9"/>
        <v>20.607936799559063</v>
      </c>
      <c r="N60" s="155">
        <f t="shared" si="10"/>
        <v>20.636230020209439</v>
      </c>
      <c r="O60" s="156">
        <f t="shared" si="11"/>
        <v>20.999999999999996</v>
      </c>
    </row>
    <row r="61" spans="1:23">
      <c r="A61" s="144" t="s">
        <v>202</v>
      </c>
      <c r="B61" s="145">
        <f>VLOOKUP($B$8,Climates[],12,FALSE)</f>
        <v>4.4000000000000004</v>
      </c>
      <c r="C61" s="119">
        <f>VLOOKUP($B$8,Climates[],25,FALSE)</f>
        <v>80</v>
      </c>
      <c r="D61" s="145">
        <f t="shared" si="3"/>
        <v>21</v>
      </c>
      <c r="E61" s="146">
        <f t="shared" si="12"/>
        <v>35</v>
      </c>
      <c r="G61" s="144" t="s">
        <v>202</v>
      </c>
      <c r="H61" s="157">
        <f t="shared" si="4"/>
        <v>3.8427337865147897</v>
      </c>
      <c r="I61" s="157">
        <f t="shared" si="5"/>
        <v>4.4000000000000004</v>
      </c>
      <c r="J61" s="158">
        <f t="shared" si="6"/>
        <v>4.6744809847510567</v>
      </c>
      <c r="K61" s="158">
        <f t="shared" si="7"/>
        <v>4.7171780268234436</v>
      </c>
      <c r="L61" s="164">
        <f t="shared" si="8"/>
        <v>5.9980892889950406</v>
      </c>
      <c r="M61" s="158">
        <f t="shared" si="9"/>
        <v>20.4083409884255</v>
      </c>
      <c r="N61" s="158">
        <f t="shared" si="10"/>
        <v>20.451038030497887</v>
      </c>
      <c r="O61" s="159">
        <f t="shared" si="11"/>
        <v>21</v>
      </c>
    </row>
    <row r="62" spans="1:23">
      <c r="A62" s="125" t="s">
        <v>203</v>
      </c>
      <c r="B62" s="129">
        <f>VLOOKUP($B$8,Climates[],13,FALSE)</f>
        <v>-0.1</v>
      </c>
      <c r="C62" s="126">
        <f>VLOOKUP($B$8,Climates[],26,FALSE)</f>
        <v>83</v>
      </c>
      <c r="D62" s="129">
        <f t="shared" si="3"/>
        <v>21</v>
      </c>
      <c r="E62" s="127">
        <f t="shared" si="12"/>
        <v>35</v>
      </c>
      <c r="G62" s="125" t="s">
        <v>203</v>
      </c>
      <c r="H62" s="160">
        <f t="shared" si="4"/>
        <v>4.8844387286422926</v>
      </c>
      <c r="I62" s="160">
        <f t="shared" si="5"/>
        <v>-0.1</v>
      </c>
      <c r="J62" s="161">
        <f t="shared" si="6"/>
        <v>0.24888848061730659</v>
      </c>
      <c r="K62" s="161">
        <f t="shared" si="7"/>
        <v>0.30316002204666537</v>
      </c>
      <c r="L62" s="167">
        <f t="shared" si="8"/>
        <v>1.9313062649274295</v>
      </c>
      <c r="M62" s="161">
        <f t="shared" si="9"/>
        <v>20.247951497336025</v>
      </c>
      <c r="N62" s="161">
        <f t="shared" si="10"/>
        <v>20.302223038765383</v>
      </c>
      <c r="O62" s="162">
        <f t="shared" si="11"/>
        <v>20.999999999999996</v>
      </c>
    </row>
    <row r="63" spans="1:23">
      <c r="A63" s="98"/>
      <c r="G63" s="98"/>
      <c r="H63" s="22"/>
      <c r="I63" s="28"/>
      <c r="J63" s="28"/>
      <c r="K63" s="28"/>
      <c r="L63" s="28"/>
      <c r="M63" s="28"/>
      <c r="N63" s="28"/>
      <c r="O63" s="28"/>
    </row>
    <row r="64" spans="1:23">
      <c r="G64" s="128"/>
      <c r="H64" s="143"/>
      <c r="I64" s="137" t="s">
        <v>150</v>
      </c>
      <c r="J64" s="138" t="s">
        <v>152</v>
      </c>
      <c r="K64" s="138" t="s">
        <v>151</v>
      </c>
      <c r="L64" s="138" t="s">
        <v>233</v>
      </c>
      <c r="M64" s="138" t="s">
        <v>172</v>
      </c>
      <c r="N64" s="138" t="s">
        <v>173</v>
      </c>
      <c r="O64" s="139" t="s">
        <v>174</v>
      </c>
      <c r="Q64" s="137" t="s">
        <v>150</v>
      </c>
      <c r="R64" s="138" t="s">
        <v>152</v>
      </c>
      <c r="S64" s="138" t="s">
        <v>151</v>
      </c>
      <c r="T64" s="138" t="s">
        <v>233</v>
      </c>
      <c r="U64" s="138" t="s">
        <v>172</v>
      </c>
      <c r="V64" s="138" t="s">
        <v>173</v>
      </c>
      <c r="W64" s="139" t="s">
        <v>174</v>
      </c>
    </row>
    <row r="65" spans="7:23">
      <c r="G65" s="250" t="s">
        <v>212</v>
      </c>
      <c r="H65" s="251"/>
      <c r="I65" s="247" t="s">
        <v>210</v>
      </c>
      <c r="J65" s="248"/>
      <c r="K65" s="248"/>
      <c r="L65" s="248"/>
      <c r="M65" s="248"/>
      <c r="N65" s="248"/>
      <c r="O65" s="249"/>
      <c r="Q65" s="247" t="s">
        <v>211</v>
      </c>
      <c r="R65" s="248"/>
      <c r="S65" s="248"/>
      <c r="T65" s="248"/>
      <c r="U65" s="248"/>
      <c r="V65" s="248"/>
      <c r="W65" s="249"/>
    </row>
    <row r="66" spans="7:23">
      <c r="G66" s="129"/>
      <c r="H66" s="163" t="s">
        <v>149</v>
      </c>
      <c r="I66" s="140" t="s">
        <v>148</v>
      </c>
      <c r="J66" s="141" t="s">
        <v>148</v>
      </c>
      <c r="K66" s="141" t="s">
        <v>148</v>
      </c>
      <c r="L66" s="141" t="s">
        <v>148</v>
      </c>
      <c r="M66" s="141" t="s">
        <v>148</v>
      </c>
      <c r="N66" s="141" t="s">
        <v>148</v>
      </c>
      <c r="O66" s="142" t="s">
        <v>148</v>
      </c>
      <c r="Q66" s="140" t="s">
        <v>148</v>
      </c>
      <c r="R66" s="141" t="s">
        <v>148</v>
      </c>
      <c r="S66" s="141" t="s">
        <v>148</v>
      </c>
      <c r="T66" s="141" t="s">
        <v>148</v>
      </c>
      <c r="U66" s="141" t="s">
        <v>148</v>
      </c>
      <c r="V66" s="141" t="s">
        <v>148</v>
      </c>
      <c r="W66" s="142" t="s">
        <v>148</v>
      </c>
    </row>
    <row r="67" spans="7:23">
      <c r="G67" s="147" t="s">
        <v>192</v>
      </c>
      <c r="H67" s="217">
        <f t="shared" ref="H67:H78" si="13">(W67-Q67)/$G$21</f>
        <v>1.0597553255596946E-4</v>
      </c>
      <c r="I67" s="169">
        <f t="shared" ref="I67:O77" si="14">288.68*(1.098+I51/100)^8.02</f>
        <v>555.34542297420364</v>
      </c>
      <c r="J67" s="170">
        <f t="shared" si="14"/>
        <v>570.66341219270089</v>
      </c>
      <c r="K67" s="170">
        <f t="shared" si="14"/>
        <v>573.07914575860434</v>
      </c>
      <c r="L67" s="171">
        <f t="shared" si="14"/>
        <v>649.84130041296794</v>
      </c>
      <c r="M67" s="170">
        <f t="shared" si="14"/>
        <v>2367.9972356753578</v>
      </c>
      <c r="N67" s="170">
        <f t="shared" si="14"/>
        <v>2376.3891702510687</v>
      </c>
      <c r="O67" s="172">
        <f t="shared" si="14"/>
        <v>2486.6279073330325</v>
      </c>
      <c r="Q67" s="169">
        <f t="shared" ref="Q67:Q78" si="15">I67*$C51/100</f>
        <v>455.38324683884696</v>
      </c>
      <c r="R67" s="170">
        <f>Q67+$H67*B$20</f>
        <v>455.54213069575246</v>
      </c>
      <c r="S67" s="170">
        <f t="shared" ref="S67:V67" si="16">R67+$H67*C$20</f>
        <v>474.69190942861616</v>
      </c>
      <c r="T67" s="170">
        <f t="shared" si="16"/>
        <v>828.2262860353303</v>
      </c>
      <c r="U67" s="170">
        <f t="shared" si="16"/>
        <v>850.32218457324996</v>
      </c>
      <c r="V67" s="170">
        <f t="shared" si="16"/>
        <v>869.47196330611359</v>
      </c>
      <c r="W67" s="172">
        <f t="shared" ref="W67:W78" si="17">O67*E51/100</f>
        <v>870.31976756656138</v>
      </c>
    </row>
    <row r="68" spans="7:23">
      <c r="G68" s="123" t="s">
        <v>193</v>
      </c>
      <c r="H68" s="218">
        <f t="shared" si="13"/>
        <v>9.8225159873956375E-5</v>
      </c>
      <c r="I68" s="173">
        <f t="shared" si="14"/>
        <v>647.6387336375019</v>
      </c>
      <c r="J68" s="174">
        <f t="shared" si="14"/>
        <v>663.49184904556148</v>
      </c>
      <c r="K68" s="174">
        <f t="shared" si="14"/>
        <v>665.98816967063874</v>
      </c>
      <c r="L68" s="175">
        <f t="shared" si="14"/>
        <v>744.80473896037131</v>
      </c>
      <c r="M68" s="174">
        <f t="shared" si="14"/>
        <v>2378.9533196073789</v>
      </c>
      <c r="N68" s="174">
        <f t="shared" si="14"/>
        <v>2386.584639526397</v>
      </c>
      <c r="O68" s="176">
        <f t="shared" si="14"/>
        <v>2486.6279073330325</v>
      </c>
      <c r="Q68" s="173">
        <f t="shared" si="15"/>
        <v>485.72905022812643</v>
      </c>
      <c r="R68" s="174">
        <f t="shared" ref="R68:R78" si="18">Q68+$H68*B$20</f>
        <v>485.87631433588348</v>
      </c>
      <c r="S68" s="174">
        <f t="shared" ref="S68:S78" si="19">R68+$H68*C$20</f>
        <v>503.6256007251074</v>
      </c>
      <c r="T68" s="174">
        <f t="shared" ref="T68:T78" si="20">S68+$H68*D$20</f>
        <v>831.3047340646259</v>
      </c>
      <c r="U68" s="174">
        <f t="shared" ref="U68:U78" si="21">T68+$H68*E$20</f>
        <v>851.78467989834576</v>
      </c>
      <c r="V68" s="174">
        <f t="shared" ref="V68:V78" si="22">U68+$H68*F$20</f>
        <v>869.53396628756968</v>
      </c>
      <c r="W68" s="176">
        <f t="shared" si="17"/>
        <v>870.31976756656138</v>
      </c>
    </row>
    <row r="69" spans="7:23" ht="15.5">
      <c r="G69" s="144" t="s">
        <v>194</v>
      </c>
      <c r="H69" s="219">
        <f t="shared" si="13"/>
        <v>6.4141811195681924E-5</v>
      </c>
      <c r="I69" s="177">
        <f t="shared" si="14"/>
        <v>910.55730601956702</v>
      </c>
      <c r="J69" s="178">
        <f t="shared" si="14"/>
        <v>926.7965664855376</v>
      </c>
      <c r="K69" s="178">
        <f t="shared" si="14"/>
        <v>929.34532257515866</v>
      </c>
      <c r="L69" s="179">
        <f t="shared" si="14"/>
        <v>1008.7174957952949</v>
      </c>
      <c r="M69" s="178">
        <f t="shared" si="14"/>
        <v>2404.1625637170578</v>
      </c>
      <c r="N69" s="178">
        <f t="shared" si="14"/>
        <v>2410.0324649456538</v>
      </c>
      <c r="O69" s="180">
        <f t="shared" si="14"/>
        <v>2486.6279073330325</v>
      </c>
      <c r="P69" s="168"/>
      <c r="Q69" s="177">
        <f t="shared" si="15"/>
        <v>619.17896809330557</v>
      </c>
      <c r="R69" s="178">
        <f t="shared" si="18"/>
        <v>619.27513272778185</v>
      </c>
      <c r="S69" s="178">
        <f t="shared" si="19"/>
        <v>630.8655580108416</v>
      </c>
      <c r="T69" s="178">
        <f t="shared" si="20"/>
        <v>844.84264015963652</v>
      </c>
      <c r="U69" s="178">
        <f t="shared" si="21"/>
        <v>858.21620779393618</v>
      </c>
      <c r="V69" s="178">
        <f t="shared" si="22"/>
        <v>869.80663307699592</v>
      </c>
      <c r="W69" s="180">
        <f t="shared" si="17"/>
        <v>870.31976756656138</v>
      </c>
    </row>
    <row r="70" spans="7:23">
      <c r="G70" s="123" t="s">
        <v>195</v>
      </c>
      <c r="H70" s="218">
        <f t="shared" si="13"/>
        <v>2.0483578027197365E-5</v>
      </c>
      <c r="I70" s="173">
        <f t="shared" si="14"/>
        <v>1254.156161133141</v>
      </c>
      <c r="J70" s="174">
        <f t="shared" si="14"/>
        <v>1269.0503679738031</v>
      </c>
      <c r="K70" s="174">
        <f t="shared" si="14"/>
        <v>1271.3811046870528</v>
      </c>
      <c r="L70" s="175">
        <f t="shared" si="14"/>
        <v>1343.0684987988107</v>
      </c>
      <c r="M70" s="174">
        <f t="shared" si="14"/>
        <v>2429.0728757156421</v>
      </c>
      <c r="N70" s="174">
        <f t="shared" si="14"/>
        <v>2433.1869341683291</v>
      </c>
      <c r="O70" s="176">
        <f t="shared" si="14"/>
        <v>2486.6279073330325</v>
      </c>
      <c r="Q70" s="173">
        <f t="shared" si="15"/>
        <v>790.11838151387883</v>
      </c>
      <c r="R70" s="174">
        <f t="shared" si="18"/>
        <v>790.1490915259136</v>
      </c>
      <c r="S70" s="174">
        <f t="shared" si="19"/>
        <v>793.85047407542822</v>
      </c>
      <c r="T70" s="174">
        <f t="shared" si="20"/>
        <v>862.18369037415869</v>
      </c>
      <c r="U70" s="174">
        <f t="shared" si="21"/>
        <v>866.45451639282931</v>
      </c>
      <c r="V70" s="174">
        <f t="shared" si="22"/>
        <v>870.15589894234392</v>
      </c>
      <c r="W70" s="176">
        <f t="shared" si="17"/>
        <v>870.31976756656138</v>
      </c>
    </row>
    <row r="71" spans="7:23">
      <c r="G71" s="144" t="s">
        <v>196</v>
      </c>
      <c r="H71" s="219">
        <f t="shared" si="13"/>
        <v>-5.4438276802048855E-5</v>
      </c>
      <c r="I71" s="177">
        <f t="shared" si="14"/>
        <v>1641.6172056803032</v>
      </c>
      <c r="J71" s="178">
        <f t="shared" si="14"/>
        <v>1653.2213333343393</v>
      </c>
      <c r="K71" s="178">
        <f t="shared" si="14"/>
        <v>1655.032857594694</v>
      </c>
      <c r="L71" s="179">
        <f t="shared" si="14"/>
        <v>1710.192855660955</v>
      </c>
      <c r="M71" s="178">
        <f t="shared" si="14"/>
        <v>2450.9873500642552</v>
      </c>
      <c r="N71" s="178">
        <f t="shared" si="14"/>
        <v>2453.5442945417708</v>
      </c>
      <c r="O71" s="180">
        <f t="shared" si="14"/>
        <v>2486.6279073330325</v>
      </c>
      <c r="Q71" s="177">
        <f t="shared" si="15"/>
        <v>1083.467355749</v>
      </c>
      <c r="R71" s="178">
        <f t="shared" si="18"/>
        <v>1083.3857391421004</v>
      </c>
      <c r="S71" s="178">
        <f t="shared" si="19"/>
        <v>1073.5487425239703</v>
      </c>
      <c r="T71" s="178">
        <f t="shared" si="20"/>
        <v>891.94265111233528</v>
      </c>
      <c r="U71" s="178">
        <f t="shared" si="21"/>
        <v>880.59227039910809</v>
      </c>
      <c r="V71" s="178">
        <f t="shared" si="22"/>
        <v>870.75527378097786</v>
      </c>
      <c r="W71" s="180">
        <f t="shared" si="17"/>
        <v>870.31976756656138</v>
      </c>
    </row>
    <row r="72" spans="7:23">
      <c r="G72" s="123" t="s">
        <v>197</v>
      </c>
      <c r="H72" s="218">
        <f t="shared" si="13"/>
        <v>-1.2876671904358286E-4</v>
      </c>
      <c r="I72" s="173">
        <f t="shared" si="14"/>
        <v>2051.481914601537</v>
      </c>
      <c r="J72" s="174">
        <f t="shared" si="14"/>
        <v>2058.0953783090472</v>
      </c>
      <c r="K72" s="174">
        <f t="shared" si="14"/>
        <v>2059.1258147725157</v>
      </c>
      <c r="L72" s="175">
        <f t="shared" si="14"/>
        <v>2090.2496470752471</v>
      </c>
      <c r="M72" s="174">
        <f t="shared" si="14"/>
        <v>2469.8315498679804</v>
      </c>
      <c r="N72" s="174">
        <f t="shared" si="14"/>
        <v>2471.0403246060464</v>
      </c>
      <c r="O72" s="176">
        <f t="shared" si="14"/>
        <v>2486.6279073330325</v>
      </c>
      <c r="Q72" s="173">
        <f t="shared" si="15"/>
        <v>1374.4928827830299</v>
      </c>
      <c r="R72" s="174">
        <f t="shared" si="18"/>
        <v>1374.2998292312404</v>
      </c>
      <c r="S72" s="174">
        <f t="shared" si="19"/>
        <v>1351.031683100065</v>
      </c>
      <c r="T72" s="174">
        <f t="shared" si="20"/>
        <v>921.46590837067254</v>
      </c>
      <c r="U72" s="174">
        <f t="shared" si="21"/>
        <v>894.61804745008556</v>
      </c>
      <c r="V72" s="174">
        <f t="shared" si="22"/>
        <v>871.34990131891016</v>
      </c>
      <c r="W72" s="176">
        <f t="shared" si="17"/>
        <v>870.31976756656138</v>
      </c>
    </row>
    <row r="73" spans="7:23">
      <c r="G73" s="144" t="s">
        <v>198</v>
      </c>
      <c r="H73" s="219">
        <f t="shared" si="13"/>
        <v>-1.6258488718714381E-4</v>
      </c>
      <c r="I73" s="177">
        <f t="shared" si="14"/>
        <v>2183.9195840309822</v>
      </c>
      <c r="J73" s="178">
        <f t="shared" si="14"/>
        <v>2188.6496504683259</v>
      </c>
      <c r="K73" s="178">
        <f t="shared" si="14"/>
        <v>2189.3862439428217</v>
      </c>
      <c r="L73" s="179">
        <f t="shared" si="14"/>
        <v>2211.5851916125134</v>
      </c>
      <c r="M73" s="178">
        <f t="shared" si="14"/>
        <v>2475.2388457103898</v>
      </c>
      <c r="N73" s="178">
        <f t="shared" si="14"/>
        <v>2476.0592053935716</v>
      </c>
      <c r="O73" s="180">
        <f t="shared" si="14"/>
        <v>2486.6279073330325</v>
      </c>
      <c r="Q73" s="177">
        <f t="shared" si="15"/>
        <v>1506.9045129813778</v>
      </c>
      <c r="R73" s="178">
        <f t="shared" si="18"/>
        <v>1506.6607575283235</v>
      </c>
      <c r="S73" s="178">
        <f t="shared" si="19"/>
        <v>1477.2816684136067</v>
      </c>
      <c r="T73" s="178">
        <f t="shared" si="20"/>
        <v>934.89848475729491</v>
      </c>
      <c r="U73" s="178">
        <f t="shared" si="21"/>
        <v>900.99953577877545</v>
      </c>
      <c r="V73" s="178">
        <f t="shared" si="22"/>
        <v>871.62044666405859</v>
      </c>
      <c r="W73" s="180">
        <f t="shared" si="17"/>
        <v>870.31976756656138</v>
      </c>
    </row>
    <row r="74" spans="7:23">
      <c r="G74" s="123" t="s">
        <v>199</v>
      </c>
      <c r="H74" s="218">
        <f t="shared" si="13"/>
        <v>-1.6397613577554982E-4</v>
      </c>
      <c r="I74" s="173">
        <f t="shared" si="14"/>
        <v>2130.0729671288841</v>
      </c>
      <c r="J74" s="174">
        <f t="shared" si="14"/>
        <v>2135.5832965190511</v>
      </c>
      <c r="K74" s="174">
        <f t="shared" si="14"/>
        <v>2136.4415793189469</v>
      </c>
      <c r="L74" s="175">
        <f t="shared" si="14"/>
        <v>2162.3308640665537</v>
      </c>
      <c r="M74" s="174">
        <f t="shared" si="14"/>
        <v>2473.0746851901777</v>
      </c>
      <c r="N74" s="174">
        <f t="shared" si="14"/>
        <v>2474.050583385299</v>
      </c>
      <c r="O74" s="176">
        <f t="shared" si="14"/>
        <v>2486.6279073330325</v>
      </c>
      <c r="Q74" s="173">
        <f t="shared" si="15"/>
        <v>1512.3518066615077</v>
      </c>
      <c r="R74" s="174">
        <f t="shared" si="18"/>
        <v>1512.105965378486</v>
      </c>
      <c r="S74" s="174">
        <f t="shared" si="19"/>
        <v>1482.4754776438442</v>
      </c>
      <c r="T74" s="174">
        <f t="shared" si="20"/>
        <v>935.45108869660987</v>
      </c>
      <c r="U74" s="174">
        <f t="shared" si="21"/>
        <v>901.26206438740769</v>
      </c>
      <c r="V74" s="174">
        <f t="shared" si="22"/>
        <v>871.63157665276583</v>
      </c>
      <c r="W74" s="176">
        <f t="shared" si="17"/>
        <v>870.31976756656138</v>
      </c>
    </row>
    <row r="75" spans="7:23">
      <c r="G75" s="144" t="s">
        <v>200</v>
      </c>
      <c r="H75" s="219">
        <f t="shared" si="13"/>
        <v>-8.8134570669231197E-5</v>
      </c>
      <c r="I75" s="177">
        <f t="shared" si="14"/>
        <v>1620.5357326626336</v>
      </c>
      <c r="J75" s="178">
        <f t="shared" si="14"/>
        <v>1632.3581676790441</v>
      </c>
      <c r="K75" s="178">
        <f t="shared" si="14"/>
        <v>1634.2039817818568</v>
      </c>
      <c r="L75" s="179">
        <f t="shared" si="14"/>
        <v>1690.4348120109887</v>
      </c>
      <c r="M75" s="178">
        <f t="shared" si="14"/>
        <v>2449.9143503091555</v>
      </c>
      <c r="N75" s="178">
        <f t="shared" si="14"/>
        <v>2452.5478049108615</v>
      </c>
      <c r="O75" s="180">
        <f t="shared" si="14"/>
        <v>2486.6279073330325</v>
      </c>
      <c r="Q75" s="177">
        <f t="shared" si="15"/>
        <v>1215.4017994969752</v>
      </c>
      <c r="R75" s="178">
        <f t="shared" si="18"/>
        <v>1215.2696637088654</v>
      </c>
      <c r="S75" s="178">
        <f t="shared" si="19"/>
        <v>1199.3437467889353</v>
      </c>
      <c r="T75" s="178">
        <f t="shared" si="20"/>
        <v>905.3268190363799</v>
      </c>
      <c r="U75" s="178">
        <f t="shared" si="21"/>
        <v>886.95076105184523</v>
      </c>
      <c r="V75" s="178">
        <f t="shared" si="22"/>
        <v>871.02484413191519</v>
      </c>
      <c r="W75" s="180">
        <f t="shared" si="17"/>
        <v>870.31976756656138</v>
      </c>
    </row>
    <row r="76" spans="7:23">
      <c r="G76" s="123" t="s">
        <v>201</v>
      </c>
      <c r="H76" s="218">
        <f t="shared" si="13"/>
        <v>-1.6322876289175395E-5</v>
      </c>
      <c r="I76" s="173">
        <f t="shared" si="14"/>
        <v>1229.2504541488943</v>
      </c>
      <c r="J76" s="174">
        <f t="shared" si="14"/>
        <v>1244.2981509846145</v>
      </c>
      <c r="K76" s="174">
        <f t="shared" si="14"/>
        <v>1246.6533359346588</v>
      </c>
      <c r="L76" s="175">
        <f t="shared" si="14"/>
        <v>1319.1480001938314</v>
      </c>
      <c r="M76" s="174">
        <f t="shared" si="14"/>
        <v>2427.4761329582461</v>
      </c>
      <c r="N76" s="174">
        <f t="shared" si="14"/>
        <v>2431.7031932722566</v>
      </c>
      <c r="O76" s="176">
        <f t="shared" si="14"/>
        <v>2486.6279073330325</v>
      </c>
      <c r="P76" s="119"/>
      <c r="Q76" s="173">
        <f t="shared" si="15"/>
        <v>934.23034515315953</v>
      </c>
      <c r="R76" s="174">
        <f t="shared" si="18"/>
        <v>934.20587307476501</v>
      </c>
      <c r="S76" s="174">
        <f t="shared" si="19"/>
        <v>931.25632932931103</v>
      </c>
      <c r="T76" s="174">
        <f t="shared" si="20"/>
        <v>876.80321402862194</v>
      </c>
      <c r="U76" s="174">
        <f t="shared" si="21"/>
        <v>873.39989432232892</v>
      </c>
      <c r="V76" s="174">
        <f t="shared" si="22"/>
        <v>870.45035057687494</v>
      </c>
      <c r="W76" s="176">
        <f t="shared" si="17"/>
        <v>870.31976756656138</v>
      </c>
    </row>
    <row r="77" spans="7:23">
      <c r="G77" s="144" t="s">
        <v>202</v>
      </c>
      <c r="H77" s="219">
        <f t="shared" si="13"/>
        <v>5.1195896944699862E-5</v>
      </c>
      <c r="I77" s="177">
        <f t="shared" si="14"/>
        <v>837.33423880877172</v>
      </c>
      <c r="J77" s="178">
        <f t="shared" si="14"/>
        <v>853.61165372949301</v>
      </c>
      <c r="K77" s="178">
        <f t="shared" si="14"/>
        <v>856.16842824564856</v>
      </c>
      <c r="L77" s="179">
        <f t="shared" si="14"/>
        <v>936.05608742001607</v>
      </c>
      <c r="M77" s="178">
        <f t="shared" si="14"/>
        <v>2397.8384323125733</v>
      </c>
      <c r="N77" s="178">
        <f t="shared" si="14"/>
        <v>2404.151685003108</v>
      </c>
      <c r="O77" s="180">
        <f t="shared" si="14"/>
        <v>2486.6279073330325</v>
      </c>
      <c r="Q77" s="177">
        <f t="shared" si="15"/>
        <v>669.86739104701735</v>
      </c>
      <c r="R77" s="178">
        <f t="shared" si="18"/>
        <v>669.94414651470061</v>
      </c>
      <c r="S77" s="178">
        <f t="shared" si="19"/>
        <v>679.19524509260782</v>
      </c>
      <c r="T77" s="178">
        <f t="shared" si="20"/>
        <v>849.9847573001266</v>
      </c>
      <c r="U77" s="178">
        <f t="shared" si="21"/>
        <v>860.65910181309653</v>
      </c>
      <c r="V77" s="178">
        <f t="shared" si="22"/>
        <v>869.91020039100374</v>
      </c>
      <c r="W77" s="180">
        <f t="shared" si="17"/>
        <v>870.31976756656138</v>
      </c>
    </row>
    <row r="78" spans="7:23">
      <c r="G78" s="125" t="s">
        <v>203</v>
      </c>
      <c r="H78" s="220">
        <f t="shared" si="13"/>
        <v>9.3700501084835951E-5</v>
      </c>
      <c r="I78" s="181">
        <f t="shared" ref="I78:O78" si="23">288.68*(1.098+I62/100)^8.02</f>
        <v>606.56011549307266</v>
      </c>
      <c r="J78" s="182">
        <f t="shared" si="23"/>
        <v>622.2052816281124</v>
      </c>
      <c r="K78" s="182">
        <f t="shared" si="23"/>
        <v>624.67044898808001</v>
      </c>
      <c r="L78" s="183">
        <f t="shared" si="23"/>
        <v>702.71496709023563</v>
      </c>
      <c r="M78" s="182">
        <f t="shared" si="23"/>
        <v>2374.2524340535888</v>
      </c>
      <c r="N78" s="182">
        <f t="shared" si="23"/>
        <v>2382.210474072755</v>
      </c>
      <c r="O78" s="184">
        <f t="shared" si="23"/>
        <v>2486.6279073330325</v>
      </c>
      <c r="Q78" s="181">
        <f t="shared" si="15"/>
        <v>503.44489585925032</v>
      </c>
      <c r="R78" s="182">
        <f t="shared" si="18"/>
        <v>503.58537637062187</v>
      </c>
      <c r="S78" s="182">
        <f t="shared" si="19"/>
        <v>520.51705691665177</v>
      </c>
      <c r="T78" s="182">
        <f t="shared" si="20"/>
        <v>833.10192853566457</v>
      </c>
      <c r="U78" s="182">
        <f t="shared" si="21"/>
        <v>852.63848301185283</v>
      </c>
      <c r="V78" s="182">
        <f t="shared" si="22"/>
        <v>869.57016355788267</v>
      </c>
      <c r="W78" s="184">
        <f t="shared" si="17"/>
        <v>870.31976756656138</v>
      </c>
    </row>
    <row r="80" spans="7:23">
      <c r="H80" s="137"/>
      <c r="I80" s="138"/>
      <c r="J80" s="137" t="s">
        <v>152</v>
      </c>
      <c r="K80" s="138" t="s">
        <v>151</v>
      </c>
      <c r="L80" s="138" t="s">
        <v>233</v>
      </c>
      <c r="M80" s="138" t="s">
        <v>172</v>
      </c>
      <c r="N80" s="139" t="s">
        <v>173</v>
      </c>
      <c r="R80" s="187" t="s">
        <v>152</v>
      </c>
      <c r="S80" s="188" t="s">
        <v>151</v>
      </c>
      <c r="T80" s="188" t="s">
        <v>233</v>
      </c>
      <c r="U80" s="188" t="s">
        <v>172</v>
      </c>
      <c r="V80" s="189" t="s">
        <v>173</v>
      </c>
      <c r="W80" s="185"/>
    </row>
    <row r="81" spans="4:23">
      <c r="H81" s="137"/>
      <c r="I81" s="138"/>
      <c r="J81" s="252" t="s">
        <v>226</v>
      </c>
      <c r="K81" s="253"/>
      <c r="L81" s="253"/>
      <c r="M81" s="253"/>
      <c r="N81" s="253"/>
      <c r="Q81" s="97"/>
      <c r="R81" s="247" t="s">
        <v>227</v>
      </c>
      <c r="S81" s="248"/>
      <c r="T81" s="248"/>
      <c r="U81" s="248"/>
      <c r="V81" s="249"/>
      <c r="W81" s="97"/>
    </row>
    <row r="82" spans="4:23">
      <c r="D82" s="118"/>
      <c r="E82" s="118"/>
      <c r="F82" s="118"/>
      <c r="H82" s="186"/>
      <c r="I82" s="138" t="s">
        <v>225</v>
      </c>
      <c r="J82" s="259" t="s">
        <v>232</v>
      </c>
      <c r="K82" s="260"/>
      <c r="L82" s="260"/>
      <c r="M82" s="260"/>
      <c r="N82" s="261"/>
      <c r="R82" s="244" t="s">
        <v>228</v>
      </c>
      <c r="S82" s="245"/>
      <c r="T82" s="245"/>
      <c r="U82" s="245"/>
      <c r="V82" s="246"/>
      <c r="W82" s="117"/>
    </row>
    <row r="83" spans="4:23">
      <c r="H83" s="147" t="s">
        <v>201</v>
      </c>
      <c r="I83" s="148">
        <v>31</v>
      </c>
      <c r="J83" s="169">
        <f>IF(R83&gt;0,R83,0)</f>
        <v>0</v>
      </c>
      <c r="K83" s="170">
        <f>IF(S83&gt;0,S83,0)</f>
        <v>0</v>
      </c>
      <c r="L83" s="171">
        <f>IF(T83&gt;0,T83,0)</f>
        <v>0</v>
      </c>
      <c r="M83" s="170">
        <f>IF(U83&gt;0,U83,0)</f>
        <v>0</v>
      </c>
      <c r="N83" s="172">
        <f>IF(V83&gt;0,V83,0)</f>
        <v>0</v>
      </c>
      <c r="O83" s="121"/>
      <c r="P83" s="121"/>
      <c r="Q83" s="117"/>
      <c r="R83" s="190">
        <f>(($W76-J76)/($C$20*$D$20+$E$20+$F$20+$G$20)-(J76-$Q76)/($B$20))*$I83*24</f>
        <v>-153.87052896981513</v>
      </c>
      <c r="S83" s="191">
        <f>(($W76-K76)/($D$20+$E$20+$F$20+$G$20)-(K76-$Q76)/($B$20+$C$20))*$I83*24</f>
        <v>-1.3507616225524508</v>
      </c>
      <c r="T83" s="192">
        <f>(($W76-L76)/($E$20+$F$20+$G$20)-(L76-$Q76)/($B$20+$C$20+$D$20))*$I83*24</f>
        <v>-0.92210468805744017</v>
      </c>
      <c r="U83" s="191">
        <f>(($W76-M76)/($F$20+$G$20)-(M76-$Q76)/($B$20+$C$20+$D$20+$E$20))*$I83*24</f>
        <v>-6.4376159295651796</v>
      </c>
      <c r="V83" s="193">
        <f>(($W76-N76)/($G$20)-(N76-$Q76)/($B$20+$C$20+$D$20+$E$20+$F$20))*$I83*24</f>
        <v>-145.49378937138971</v>
      </c>
      <c r="W83" s="117"/>
    </row>
    <row r="84" spans="4:23">
      <c r="H84" s="123" t="s">
        <v>202</v>
      </c>
      <c r="I84" s="131">
        <v>30</v>
      </c>
      <c r="J84" s="173">
        <f>IF((R84+J83)&gt;0,(R84+J83),0)</f>
        <v>0</v>
      </c>
      <c r="K84" s="174">
        <f>IF((S84+K83)&gt;0,(S84+K83),0)</f>
        <v>0</v>
      </c>
      <c r="L84" s="175">
        <f>IF((T84+L83)&gt;0,(T84+L83),0)</f>
        <v>0</v>
      </c>
      <c r="M84" s="174">
        <f>IF((U84+M83)&gt;0,(U84+M83),0)</f>
        <v>0</v>
      </c>
      <c r="N84" s="176">
        <f>IF((V84+N83)&gt;0,(V84+N83),0)</f>
        <v>0</v>
      </c>
      <c r="O84" s="121"/>
      <c r="P84" s="121"/>
      <c r="Q84" s="117"/>
      <c r="R84" s="194">
        <f>(($W77-J77)/($C$20*$D$20+$E$20+$F$20+$G$20)-(J77-$Q77)/($B$20))*$I84*24</f>
        <v>-88.241344690676044</v>
      </c>
      <c r="S84" s="195">
        <f>(($W77-K77)/($D$20+$E$20+$F$20+$G$20)-(K77-$Q77)/($B$20+$C$20))*$I84*24</f>
        <v>-0.73347981919056382</v>
      </c>
      <c r="T84" s="196">
        <f>(($W77-L77)/($E$20+$F$20+$G$20)-(L77-$Q77)/($B$20+$C$20+$D$20))*$I84*24</f>
        <v>-0.17363504849574279</v>
      </c>
      <c r="U84" s="195">
        <f>(($W77-M77)/($F$20+$G$20)-(M77-$Q77)/($B$20+$C$20+$D$20+$E$20))*$I84*24</f>
        <v>-6.1622148996149306</v>
      </c>
      <c r="V84" s="197">
        <f>(($W77-N77)/($G$20)-(N77-$Q77)/($B$20+$C$20+$D$20+$E$20+$F$20))*$I84*24</f>
        <v>-138.36444183048729</v>
      </c>
      <c r="W84" s="117"/>
    </row>
    <row r="85" spans="4:23">
      <c r="H85" s="144" t="s">
        <v>203</v>
      </c>
      <c r="I85" s="145">
        <v>31</v>
      </c>
      <c r="J85" s="177">
        <f t="shared" ref="J85:K94" si="24">IF((R85+J84)&gt;0,(R85+J84),0)</f>
        <v>0</v>
      </c>
      <c r="K85" s="178">
        <f t="shared" si="24"/>
        <v>0</v>
      </c>
      <c r="L85" s="179">
        <f t="shared" ref="L85:N94" si="25">IF((T85+L84)&gt;0,(T85+L84),0)</f>
        <v>0.27180252185789378</v>
      </c>
      <c r="M85" s="178">
        <f t="shared" si="25"/>
        <v>0</v>
      </c>
      <c r="N85" s="180">
        <f t="shared" si="25"/>
        <v>0</v>
      </c>
      <c r="O85" s="121"/>
      <c r="P85" s="121"/>
      <c r="Q85" s="117"/>
      <c r="R85" s="198">
        <f>(($W78-J78)/($C$20*$D$20+$E$20+$F$20+$G$20)-(J78-$Q78)/($B$20))*$I85*24</f>
        <v>-58.934603610801332</v>
      </c>
      <c r="S85" s="199">
        <f>(($W78-K78)/($D$20+$E$20+$F$20+$G$20)-(K78-$Q78)/($B$20+$C$20))*$I85*24</f>
        <v>-0.44606131929712034</v>
      </c>
      <c r="T85" s="200">
        <f>(($W78-L78)/($E$20+$F$20+$G$20)-(L78-$Q78)/($B$20+$C$20+$D$20))*$I85*24</f>
        <v>0.27180252185789378</v>
      </c>
      <c r="U85" s="199">
        <f>(($W78-M78)/($F$20+$G$20)-(M78-$Q78)/($B$20+$C$20+$D$20+$E$20))*$I85*24</f>
        <v>-6.3031439297166667</v>
      </c>
      <c r="V85" s="201">
        <f>(($W78-N78)/($G$20)-(N78-$Q78)/($B$20+$C$20+$D$20+$E$20+$F$20))*$I85*24</f>
        <v>-140.96356766452621</v>
      </c>
      <c r="W85" s="117"/>
    </row>
    <row r="86" spans="4:23">
      <c r="H86" s="123" t="s">
        <v>192</v>
      </c>
      <c r="I86" s="131">
        <v>31</v>
      </c>
      <c r="J86" s="173">
        <f t="shared" si="24"/>
        <v>0</v>
      </c>
      <c r="K86" s="174">
        <f t="shared" si="24"/>
        <v>0</v>
      </c>
      <c r="L86" s="175">
        <f t="shared" si="25"/>
        <v>0.6436609378854421</v>
      </c>
      <c r="M86" s="174">
        <f t="shared" si="25"/>
        <v>0</v>
      </c>
      <c r="N86" s="176">
        <f t="shared" si="25"/>
        <v>0</v>
      </c>
      <c r="O86" s="121"/>
      <c r="P86" s="121"/>
      <c r="Q86" s="117"/>
      <c r="R86" s="194">
        <f t="shared" ref="R86:R94" si="26">(($W67-J67)/($C$20*$D$20+$E$20+$F$20+$G$20)-(J67-$Q67)/($B$20))*$I86*24</f>
        <v>-57.207551126680961</v>
      </c>
      <c r="S86" s="195">
        <f t="shared" ref="S86:S94" si="27">(($W67-K67)/($D$20+$E$20+$F$20+$G$20)-(K67-$Q67)/($B$20+$C$20))*$I86*24</f>
        <v>-0.42136640551519089</v>
      </c>
      <c r="T86" s="196">
        <f t="shared" ref="T86:T94" si="28">(($W67-L67)/($E$20+$F$20+$G$20)-(L67-$Q67)/($B$20+$C$20+$D$20))*$I86*24</f>
        <v>0.37185841602754832</v>
      </c>
      <c r="U86" s="195">
        <f t="shared" ref="U86:U94" si="29">(($W67-M67)/($F$20+$G$20)-(M67-$Q67)/($B$20+$C$20+$D$20+$E$20))*$I86*24</f>
        <v>-6.2868274039466243</v>
      </c>
      <c r="V86" s="197">
        <f t="shared" ref="V86:V94" si="30">(($W67-N67)/($G$20)-(N67-$Q67)/($B$20+$C$20+$D$20+$E$20+$F$20))*$I86*24</f>
        <v>-140.43022930793137</v>
      </c>
      <c r="W86" s="117"/>
    </row>
    <row r="87" spans="4:23">
      <c r="H87" s="144" t="s">
        <v>193</v>
      </c>
      <c r="I87" s="145">
        <v>28</v>
      </c>
      <c r="J87" s="177">
        <f t="shared" si="24"/>
        <v>0</v>
      </c>
      <c r="K87" s="178">
        <f t="shared" si="24"/>
        <v>0</v>
      </c>
      <c r="L87" s="179">
        <f t="shared" si="25"/>
        <v>0.80652742822117718</v>
      </c>
      <c r="M87" s="178">
        <f t="shared" si="25"/>
        <v>0</v>
      </c>
      <c r="N87" s="180">
        <f t="shared" si="25"/>
        <v>0</v>
      </c>
      <c r="O87" s="121"/>
      <c r="P87" s="121"/>
      <c r="Q87" s="117"/>
      <c r="R87" s="198">
        <f t="shared" si="26"/>
        <v>-79.677552506580724</v>
      </c>
      <c r="S87" s="199">
        <f t="shared" si="27"/>
        <v>-0.6280632723685915</v>
      </c>
      <c r="T87" s="200">
        <f t="shared" si="28"/>
        <v>0.16286649033573508</v>
      </c>
      <c r="U87" s="199">
        <f t="shared" si="29"/>
        <v>-5.713945286134166</v>
      </c>
      <c r="V87" s="201">
        <f t="shared" si="30"/>
        <v>-127.69316105326358</v>
      </c>
      <c r="W87" s="117"/>
    </row>
    <row r="88" spans="4:23">
      <c r="H88" s="123" t="s">
        <v>194</v>
      </c>
      <c r="I88" s="131">
        <v>31</v>
      </c>
      <c r="J88" s="173">
        <f t="shared" si="24"/>
        <v>0</v>
      </c>
      <c r="K88" s="174">
        <f t="shared" si="24"/>
        <v>0</v>
      </c>
      <c r="L88" s="175">
        <f t="shared" si="25"/>
        <v>0.46491659123950324</v>
      </c>
      <c r="M88" s="174">
        <f t="shared" si="25"/>
        <v>0</v>
      </c>
      <c r="N88" s="176">
        <f t="shared" si="25"/>
        <v>0</v>
      </c>
      <c r="O88" s="121"/>
      <c r="P88" s="121"/>
      <c r="Q88" s="117"/>
      <c r="R88" s="194">
        <f t="shared" si="26"/>
        <v>-152.65461803665252</v>
      </c>
      <c r="S88" s="195">
        <f t="shared" si="27"/>
        <v>-1.2783095674286413</v>
      </c>
      <c r="T88" s="196">
        <f t="shared" si="28"/>
        <v>-0.34161083698167394</v>
      </c>
      <c r="U88" s="195">
        <f t="shared" si="29"/>
        <v>-6.4039386483892393</v>
      </c>
      <c r="V88" s="197">
        <f t="shared" si="30"/>
        <v>-143.53427365383837</v>
      </c>
      <c r="W88" s="117"/>
    </row>
    <row r="89" spans="4:23">
      <c r="H89" s="144" t="s">
        <v>195</v>
      </c>
      <c r="I89" s="145">
        <v>30</v>
      </c>
      <c r="J89" s="177">
        <f t="shared" si="24"/>
        <v>0</v>
      </c>
      <c r="K89" s="178">
        <f t="shared" si="24"/>
        <v>0</v>
      </c>
      <c r="L89" s="179">
        <f t="shared" si="25"/>
        <v>0</v>
      </c>
      <c r="M89" s="178">
        <f t="shared" si="25"/>
        <v>0</v>
      </c>
      <c r="N89" s="180">
        <f t="shared" si="25"/>
        <v>0</v>
      </c>
      <c r="O89" s="121"/>
      <c r="P89" s="121"/>
      <c r="Q89" s="117"/>
      <c r="R89" s="198">
        <f t="shared" si="26"/>
        <v>-230.00229765375599</v>
      </c>
      <c r="S89" s="199">
        <f t="shared" si="27"/>
        <v>-1.979164720657578</v>
      </c>
      <c r="T89" s="200">
        <f t="shared" si="28"/>
        <v>-0.97010766436831797</v>
      </c>
      <c r="U89" s="199">
        <f t="shared" si="29"/>
        <v>-6.2641943884986109</v>
      </c>
      <c r="V89" s="201">
        <f t="shared" si="30"/>
        <v>-140.96080631495263</v>
      </c>
      <c r="W89" s="117"/>
    </row>
    <row r="90" spans="4:23">
      <c r="H90" s="123" t="s">
        <v>196</v>
      </c>
      <c r="I90" s="131">
        <v>31</v>
      </c>
      <c r="J90" s="173">
        <f t="shared" si="24"/>
        <v>0</v>
      </c>
      <c r="K90" s="174">
        <f t="shared" si="24"/>
        <v>0</v>
      </c>
      <c r="L90" s="175">
        <f t="shared" si="25"/>
        <v>0</v>
      </c>
      <c r="M90" s="174">
        <f t="shared" si="25"/>
        <v>0</v>
      </c>
      <c r="N90" s="176">
        <f t="shared" si="25"/>
        <v>0</v>
      </c>
      <c r="O90" s="121"/>
      <c r="P90" s="121"/>
      <c r="Q90" s="117"/>
      <c r="R90" s="194">
        <f t="shared" si="26"/>
        <v>-282.73927283503309</v>
      </c>
      <c r="S90" s="195">
        <f t="shared" si="27"/>
        <v>-2.4903420460937533</v>
      </c>
      <c r="T90" s="196">
        <f t="shared" si="28"/>
        <v>-1.705710959451531</v>
      </c>
      <c r="U90" s="195">
        <f t="shared" si="29"/>
        <v>-6.5052152070974216</v>
      </c>
      <c r="V90" s="197">
        <f t="shared" si="30"/>
        <v>-147.50075459164455</v>
      </c>
      <c r="W90" s="117"/>
    </row>
    <row r="91" spans="4:23">
      <c r="H91" s="144" t="s">
        <v>197</v>
      </c>
      <c r="I91" s="145">
        <v>30</v>
      </c>
      <c r="J91" s="177">
        <f t="shared" si="24"/>
        <v>0</v>
      </c>
      <c r="K91" s="178">
        <f t="shared" si="24"/>
        <v>0</v>
      </c>
      <c r="L91" s="179">
        <f t="shared" si="25"/>
        <v>0</v>
      </c>
      <c r="M91" s="178">
        <f t="shared" si="25"/>
        <v>0</v>
      </c>
      <c r="N91" s="180">
        <f t="shared" si="25"/>
        <v>0</v>
      </c>
      <c r="O91" s="121"/>
      <c r="P91" s="121"/>
      <c r="Q91" s="117"/>
      <c r="R91" s="198">
        <f t="shared" si="26"/>
        <v>-328.29326387008797</v>
      </c>
      <c r="S91" s="199">
        <f t="shared" si="27"/>
        <v>-2.9347539916252248</v>
      </c>
      <c r="T91" s="200">
        <f t="shared" si="28"/>
        <v>-2.3578329842042063</v>
      </c>
      <c r="U91" s="199">
        <f t="shared" si="29"/>
        <v>-6.3146855556014607</v>
      </c>
      <c r="V91" s="201">
        <f t="shared" si="30"/>
        <v>-144.2669063114671</v>
      </c>
      <c r="W91" s="117"/>
    </row>
    <row r="92" spans="4:23">
      <c r="H92" s="123" t="s">
        <v>198</v>
      </c>
      <c r="I92" s="131">
        <v>31</v>
      </c>
      <c r="J92" s="173">
        <f t="shared" si="24"/>
        <v>0</v>
      </c>
      <c r="K92" s="174">
        <f t="shared" si="24"/>
        <v>0</v>
      </c>
      <c r="L92" s="175">
        <f t="shared" si="25"/>
        <v>0</v>
      </c>
      <c r="M92" s="174">
        <f t="shared" si="25"/>
        <v>0</v>
      </c>
      <c r="N92" s="176">
        <f t="shared" si="25"/>
        <v>0</v>
      </c>
      <c r="O92" s="121"/>
      <c r="P92" s="121"/>
      <c r="Q92" s="117"/>
      <c r="R92" s="194">
        <f t="shared" si="26"/>
        <v>-338.31466261471678</v>
      </c>
      <c r="S92" s="195">
        <f t="shared" si="27"/>
        <v>-3.0497547907056051</v>
      </c>
      <c r="T92" s="196">
        <f t="shared" si="28"/>
        <v>-2.6613601751194365</v>
      </c>
      <c r="U92" s="195">
        <f t="shared" si="29"/>
        <v>-6.521139572572598</v>
      </c>
      <c r="V92" s="197">
        <f t="shared" si="30"/>
        <v>-149.518302505619</v>
      </c>
      <c r="W92" s="117"/>
    </row>
    <row r="93" spans="4:23">
      <c r="H93" s="144" t="s">
        <v>199</v>
      </c>
      <c r="I93" s="145">
        <v>31</v>
      </c>
      <c r="J93" s="177">
        <f t="shared" si="24"/>
        <v>0</v>
      </c>
      <c r="K93" s="178">
        <f t="shared" si="24"/>
        <v>0</v>
      </c>
      <c r="L93" s="179">
        <f t="shared" si="25"/>
        <v>0</v>
      </c>
      <c r="M93" s="178">
        <f t="shared" si="25"/>
        <v>0</v>
      </c>
      <c r="N93" s="180">
        <f t="shared" si="25"/>
        <v>0</v>
      </c>
      <c r="O93" s="121"/>
      <c r="P93" s="121"/>
      <c r="Q93" s="117"/>
      <c r="R93" s="198">
        <f t="shared" si="26"/>
        <v>-309.27738194042502</v>
      </c>
      <c r="S93" s="199">
        <f t="shared" si="27"/>
        <v>-2.8007631464248179</v>
      </c>
      <c r="T93" s="200">
        <f t="shared" si="28"/>
        <v>-2.5575334624356922</v>
      </c>
      <c r="U93" s="199">
        <f t="shared" si="29"/>
        <v>-6.5110872391004246</v>
      </c>
      <c r="V93" s="201">
        <f t="shared" si="30"/>
        <v>-149.33008099300116</v>
      </c>
      <c r="W93" s="117"/>
    </row>
    <row r="94" spans="4:23">
      <c r="H94" s="123" t="s">
        <v>200</v>
      </c>
      <c r="I94" s="131">
        <v>30</v>
      </c>
      <c r="J94" s="173">
        <f t="shared" si="24"/>
        <v>0</v>
      </c>
      <c r="K94" s="174">
        <f t="shared" si="24"/>
        <v>0</v>
      </c>
      <c r="L94" s="175">
        <f t="shared" si="25"/>
        <v>0</v>
      </c>
      <c r="M94" s="174">
        <f t="shared" si="25"/>
        <v>0</v>
      </c>
      <c r="N94" s="176">
        <f t="shared" si="25"/>
        <v>0</v>
      </c>
      <c r="O94" s="121"/>
      <c r="P94" s="121"/>
      <c r="Q94" s="117"/>
      <c r="R94" s="194">
        <f t="shared" si="26"/>
        <v>-200.23912716593173</v>
      </c>
      <c r="S94" s="195">
        <f t="shared" si="27"/>
        <v>-1.8023137791444181</v>
      </c>
      <c r="T94" s="196">
        <f t="shared" si="28"/>
        <v>-1.58382895029805</v>
      </c>
      <c r="U94" s="195">
        <f t="shared" si="29"/>
        <v>-6.2655783396121487</v>
      </c>
      <c r="V94" s="197">
        <f t="shared" si="30"/>
        <v>-142.62848704394378</v>
      </c>
    </row>
    <row r="95" spans="4:23">
      <c r="H95" s="144" t="s">
        <v>201</v>
      </c>
      <c r="I95" s="145">
        <v>31</v>
      </c>
      <c r="J95" s="177">
        <f t="shared" ref="J95" si="31">IF((R95+J94)&gt;0,(R95+J94),0)</f>
        <v>0</v>
      </c>
      <c r="K95" s="178">
        <f t="shared" ref="K95" si="32">IF((S95+K94)&gt;0,(S95+K94),0)</f>
        <v>0</v>
      </c>
      <c r="L95" s="179">
        <f t="shared" ref="L95" si="33">IF((T95+L94)&gt;0,(T95+L94),0)</f>
        <v>0</v>
      </c>
      <c r="M95" s="178">
        <f t="shared" ref="M95" si="34">IF((U95+M94)&gt;0,(U95+M94),0)</f>
        <v>0</v>
      </c>
      <c r="N95" s="180">
        <f t="shared" ref="N95" si="35">IF((V95+N94)&gt;0,(V95+N94),0)</f>
        <v>0</v>
      </c>
      <c r="R95" s="198">
        <f t="shared" ref="R95" si="36">(($W76-J76)/($C$20*$D$20+$E$20+$F$20+$G$20)-(J76-$Q76)/($B$20))*$I95*24</f>
        <v>-153.87052896981513</v>
      </c>
      <c r="S95" s="199">
        <f t="shared" ref="S95" si="37">(($W76-K76)/($D$20+$E$20+$F$20+$G$20)-(K76-$Q76)/($B$20+$C$20))*$I95*24</f>
        <v>-1.3507616225524508</v>
      </c>
      <c r="T95" s="200">
        <f t="shared" ref="T95" si="38">(($W76-L76)/($E$20+$F$20+$G$20)-(L76-$Q76)/($B$20+$C$20+$D$20))*$I95*24</f>
        <v>-0.92210468805744017</v>
      </c>
      <c r="U95" s="199">
        <f t="shared" ref="U95" si="39">(($W76-M76)/($F$20+$G$20)-(M76-$Q76)/($B$20+$C$20+$D$20+$E$20))*$I95*24</f>
        <v>-6.4376159295651796</v>
      </c>
      <c r="V95" s="201">
        <f t="shared" ref="V95" si="40">(($W76-N76)/($G$20)-(N76-$Q76)/($B$20+$C$20+$D$20+$E$20+$F$20))*$I95*24</f>
        <v>-145.49378937138971</v>
      </c>
    </row>
    <row r="96" spans="4:23">
      <c r="H96" s="125" t="s">
        <v>202</v>
      </c>
      <c r="I96" s="239">
        <v>30</v>
      </c>
      <c r="J96" s="181">
        <f t="shared" ref="J96" si="41">IF((R96+J95)&gt;0,(R96+J95),0)</f>
        <v>0</v>
      </c>
      <c r="K96" s="182">
        <f t="shared" ref="K96" si="42">IF((S96+K95)&gt;0,(S96+K95),0)</f>
        <v>0</v>
      </c>
      <c r="L96" s="183">
        <f t="shared" ref="L96" si="43">IF((T96+L95)&gt;0,(T96+L95),0)</f>
        <v>0</v>
      </c>
      <c r="M96" s="182">
        <f t="shared" ref="M96" si="44">IF((U96+M95)&gt;0,(U96+M95),0)</f>
        <v>0</v>
      </c>
      <c r="N96" s="184">
        <f t="shared" ref="N96" si="45">IF((V96+N95)&gt;0,(V96+N95),0)</f>
        <v>0</v>
      </c>
      <c r="R96" s="202">
        <f t="shared" ref="R96" si="46">(($W77-J77)/($C$20*$D$20+$E$20+$F$20+$G$20)-(J77-$Q77)/($B$20))*$I96*24</f>
        <v>-88.241344690676044</v>
      </c>
      <c r="S96" s="203">
        <f t="shared" ref="S96" si="47">(($W77-K77)/($D$20+$E$20+$F$20+$G$20)-(K77-$Q77)/($B$20+$C$20))*$I96*24</f>
        <v>-0.73347981919056382</v>
      </c>
      <c r="T96" s="204">
        <f t="shared" ref="T96" si="48">(($W77-L77)/($E$20+$F$20+$G$20)-(L77-$Q77)/($B$20+$C$20+$D$20))*$I96*24</f>
        <v>-0.17363504849574279</v>
      </c>
      <c r="U96" s="203">
        <f t="shared" ref="U96" si="49">(($W77-M77)/($F$20+$G$20)-(M77-$Q77)/($B$20+$C$20+$D$20+$E$20))*$I96*24</f>
        <v>-6.1622148996149306</v>
      </c>
      <c r="V96" s="205">
        <f t="shared" ref="V96" si="50">(($W77-N77)/($G$20)-(N77-$Q77)/($B$20+$C$20+$D$20+$E$20+$F$20))*$I96*24</f>
        <v>-138.36444183048729</v>
      </c>
    </row>
  </sheetData>
  <sheetProtection sheet="1" selectLockedCells="1"/>
  <mergeCells count="12">
    <mergeCell ref="A1:H1"/>
    <mergeCell ref="B48:C48"/>
    <mergeCell ref="D48:E48"/>
    <mergeCell ref="B8:C8"/>
    <mergeCell ref="J82:N82"/>
    <mergeCell ref="I49:O49"/>
    <mergeCell ref="R82:V82"/>
    <mergeCell ref="I65:O65"/>
    <mergeCell ref="Q65:W65"/>
    <mergeCell ref="R81:V81"/>
    <mergeCell ref="G65:H65"/>
    <mergeCell ref="J81:N81"/>
  </mergeCells>
  <phoneticPr fontId="26" type="noConversion"/>
  <dataValidations count="1">
    <dataValidation type="whole" allowBlank="1" showInputMessage="1" showErrorMessage="1" sqref="G10" xr:uid="{7BAA227E-32F4-44F3-A7F4-762E99C69167}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323A5C-263B-434C-A601-D71323D8AAA8}">
          <x14:formula1>
            <xm:f>Materials_Climate!$G$3:$R$3</xm:f>
          </x14:formula1>
          <xm:sqref>E8</xm:sqref>
        </x14:dataValidation>
        <x14:dataValidation type="list" allowBlank="1" showInputMessage="1" showErrorMessage="1" xr:uid="{CE0F69A2-FE57-4D9E-BCA9-0E9C7159260D}">
          <x14:formula1>
            <xm:f>Materials_Climate!$B$4:$B$16</xm:f>
          </x14:formula1>
          <xm:sqref>C3:F3</xm:sqref>
        </x14:dataValidation>
        <x14:dataValidation type="list" allowBlank="1" showInputMessage="1" showErrorMessage="1" xr:uid="{B9D15299-438D-4521-B520-D8B9BD80B9A9}">
          <x14:formula1>
            <xm:f>Materials_Climate!$F$4:$F$10</xm:f>
          </x14:formula1>
          <xm:sqref>B8:C8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CAD8-59A4-4CBD-A426-E408DA56B947}">
  <sheetPr codeName="Tabelle3"/>
  <dimension ref="B1:AE16"/>
  <sheetViews>
    <sheetView zoomScaleNormal="100" workbookViewId="0">
      <selection activeCell="C4" sqref="C4"/>
    </sheetView>
  </sheetViews>
  <sheetFormatPr baseColWidth="10" defaultRowHeight="14.5"/>
  <cols>
    <col min="1" max="1" width="3.453125" customWidth="1"/>
    <col min="2" max="2" width="12.453125" customWidth="1"/>
    <col min="3" max="3" width="15.54296875" customWidth="1"/>
    <col min="4" max="4" width="16.54296875" customWidth="1"/>
    <col min="6" max="6" width="19" customWidth="1"/>
    <col min="7" max="7" width="5.90625" customWidth="1"/>
    <col min="8" max="8" width="6.1796875" customWidth="1"/>
    <col min="9" max="9" width="6.54296875" customWidth="1"/>
    <col min="10" max="10" width="6.08984375" customWidth="1"/>
    <col min="11" max="11" width="6.81640625" customWidth="1"/>
    <col min="12" max="12" width="5.90625" customWidth="1"/>
    <col min="13" max="13" width="6.1796875" customWidth="1"/>
    <col min="14" max="14" width="6.453125" customWidth="1"/>
    <col min="15" max="15" width="6.90625" customWidth="1"/>
    <col min="16" max="16" width="6" customWidth="1"/>
    <col min="17" max="17" width="6.54296875" customWidth="1"/>
    <col min="18" max="18" width="6.08984375" customWidth="1"/>
    <col min="19" max="19" width="9.54296875" customWidth="1"/>
    <col min="20" max="20" width="5.81640625" customWidth="1"/>
    <col min="21" max="21" width="6.08984375" customWidth="1"/>
    <col min="22" max="22" width="6.54296875" customWidth="1"/>
    <col min="23" max="23" width="6.1796875" customWidth="1"/>
    <col min="24" max="24" width="6.90625" customWidth="1"/>
    <col min="25" max="25" width="5.90625" customWidth="1"/>
    <col min="26" max="26" width="6.453125" customWidth="1"/>
    <col min="27" max="27" width="6.6328125" customWidth="1"/>
    <col min="28" max="28" width="7.1796875" customWidth="1"/>
    <col min="29" max="29" width="6.08984375" customWidth="1"/>
    <col min="30" max="30" width="7.453125" customWidth="1"/>
    <col min="31" max="31" width="8.1796875" customWidth="1"/>
  </cols>
  <sheetData>
    <row r="1" spans="2:31" ht="18.5">
      <c r="B1" s="262" t="s">
        <v>223</v>
      </c>
      <c r="C1" s="262"/>
      <c r="D1" s="262"/>
      <c r="F1" s="265" t="s">
        <v>229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3"/>
      <c r="AE1" s="263"/>
    </row>
    <row r="2" spans="2:31" ht="28.25" customHeight="1">
      <c r="C2" s="90" t="s">
        <v>182</v>
      </c>
      <c r="D2" s="90" t="s">
        <v>189</v>
      </c>
      <c r="F2" s="102"/>
      <c r="G2" s="263" t="s">
        <v>217</v>
      </c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110"/>
      <c r="T2" s="264" t="s">
        <v>218</v>
      </c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</row>
    <row r="3" spans="2:31">
      <c r="B3" s="37" t="s">
        <v>224</v>
      </c>
      <c r="C3" s="38" t="s">
        <v>181</v>
      </c>
      <c r="D3" s="39" t="s">
        <v>248</v>
      </c>
      <c r="F3" s="213" t="s">
        <v>249</v>
      </c>
      <c r="G3" s="213" t="s">
        <v>192</v>
      </c>
      <c r="H3" s="214" t="s">
        <v>193</v>
      </c>
      <c r="I3" s="215" t="s">
        <v>194</v>
      </c>
      <c r="J3" s="213" t="s">
        <v>195</v>
      </c>
      <c r="K3" s="214" t="s">
        <v>196</v>
      </c>
      <c r="L3" s="215" t="s">
        <v>197</v>
      </c>
      <c r="M3" s="213" t="s">
        <v>198</v>
      </c>
      <c r="N3" s="214" t="s">
        <v>199</v>
      </c>
      <c r="O3" s="215" t="s">
        <v>200</v>
      </c>
      <c r="P3" s="213" t="s">
        <v>201</v>
      </c>
      <c r="Q3" s="214" t="s">
        <v>202</v>
      </c>
      <c r="R3" s="215" t="s">
        <v>203</v>
      </c>
      <c r="S3" s="216" t="s">
        <v>235</v>
      </c>
      <c r="T3" s="214" t="s">
        <v>236</v>
      </c>
      <c r="U3" s="213" t="s">
        <v>237</v>
      </c>
      <c r="V3" s="214" t="s">
        <v>238</v>
      </c>
      <c r="W3" s="215" t="s">
        <v>239</v>
      </c>
      <c r="X3" s="213" t="s">
        <v>240</v>
      </c>
      <c r="Y3" s="214" t="s">
        <v>241</v>
      </c>
      <c r="Z3" s="215" t="s">
        <v>242</v>
      </c>
      <c r="AA3" s="213" t="s">
        <v>243</v>
      </c>
      <c r="AB3" s="214" t="s">
        <v>244</v>
      </c>
      <c r="AC3" s="215" t="s">
        <v>245</v>
      </c>
      <c r="AD3" s="213" t="s">
        <v>246</v>
      </c>
      <c r="AE3" s="214" t="s">
        <v>247</v>
      </c>
    </row>
    <row r="4" spans="2:31">
      <c r="B4" t="s">
        <v>161</v>
      </c>
      <c r="C4" s="40">
        <v>0.9</v>
      </c>
      <c r="D4" s="97">
        <v>13</v>
      </c>
      <c r="F4" s="103" t="s">
        <v>204</v>
      </c>
      <c r="G4" s="106">
        <v>13.8</v>
      </c>
      <c r="H4" s="106">
        <v>16.7</v>
      </c>
      <c r="I4" s="106">
        <v>22.1</v>
      </c>
      <c r="J4" s="106">
        <v>27.5</v>
      </c>
      <c r="K4" s="106">
        <v>29.1</v>
      </c>
      <c r="L4" s="106">
        <v>29.8</v>
      </c>
      <c r="M4" s="106">
        <v>28</v>
      </c>
      <c r="N4" s="106">
        <v>28.2</v>
      </c>
      <c r="O4" s="106">
        <v>27.2</v>
      </c>
      <c r="P4" s="106">
        <v>25.7</v>
      </c>
      <c r="Q4" s="106">
        <v>20.399999999999999</v>
      </c>
      <c r="R4" s="106">
        <v>15.8</v>
      </c>
      <c r="S4" s="108"/>
      <c r="T4" s="106">
        <v>79</v>
      </c>
      <c r="U4" s="106">
        <v>77</v>
      </c>
      <c r="V4" s="106">
        <v>57</v>
      </c>
      <c r="W4" s="106">
        <v>45</v>
      </c>
      <c r="X4" s="106">
        <v>58</v>
      </c>
      <c r="Y4" s="106">
        <v>70</v>
      </c>
      <c r="Z4" s="106">
        <v>88</v>
      </c>
      <c r="AA4" s="106">
        <v>86</v>
      </c>
      <c r="AB4" s="106">
        <v>88</v>
      </c>
      <c r="AC4" s="106">
        <v>79</v>
      </c>
      <c r="AD4" s="106">
        <v>77.5</v>
      </c>
      <c r="AE4" s="106">
        <v>79</v>
      </c>
    </row>
    <row r="5" spans="2:31">
      <c r="B5" t="s">
        <v>190</v>
      </c>
      <c r="C5" s="40">
        <v>0.04</v>
      </c>
      <c r="D5" s="97">
        <v>150</v>
      </c>
      <c r="F5" s="104" t="s">
        <v>250</v>
      </c>
      <c r="G5" s="107">
        <v>9.8000000000000007</v>
      </c>
      <c r="H5" s="107">
        <v>12</v>
      </c>
      <c r="I5" s="107">
        <v>16</v>
      </c>
      <c r="J5" s="107">
        <v>19</v>
      </c>
      <c r="K5" s="107">
        <v>21</v>
      </c>
      <c r="L5" s="107">
        <v>23</v>
      </c>
      <c r="M5" s="107">
        <v>23</v>
      </c>
      <c r="N5" s="107">
        <v>22.8</v>
      </c>
      <c r="O5" s="107">
        <v>22</v>
      </c>
      <c r="P5" s="107">
        <v>19</v>
      </c>
      <c r="Q5" s="107">
        <v>14</v>
      </c>
      <c r="R5" s="107">
        <v>10.3</v>
      </c>
      <c r="S5" s="109"/>
      <c r="T5" s="107">
        <v>76</v>
      </c>
      <c r="U5" s="107">
        <v>72</v>
      </c>
      <c r="V5" s="107">
        <v>64</v>
      </c>
      <c r="W5" s="107">
        <v>56</v>
      </c>
      <c r="X5" s="107">
        <v>75</v>
      </c>
      <c r="Y5" s="107">
        <v>83</v>
      </c>
      <c r="Z5" s="107">
        <v>89</v>
      </c>
      <c r="AA5" s="107">
        <v>89</v>
      </c>
      <c r="AB5" s="107">
        <v>93</v>
      </c>
      <c r="AC5" s="107">
        <v>84</v>
      </c>
      <c r="AD5" s="107">
        <v>76</v>
      </c>
      <c r="AE5" s="107">
        <v>82</v>
      </c>
    </row>
    <row r="6" spans="2:31">
      <c r="B6" t="s">
        <v>163</v>
      </c>
      <c r="C6" s="40">
        <v>0.04</v>
      </c>
      <c r="D6" s="97">
        <v>1</v>
      </c>
      <c r="F6" s="105" t="s">
        <v>205</v>
      </c>
      <c r="G6" s="106">
        <v>-5.4</v>
      </c>
      <c r="H6" s="106">
        <v>-2.85</v>
      </c>
      <c r="I6" s="106">
        <v>0.35</v>
      </c>
      <c r="J6" s="106">
        <v>3.8</v>
      </c>
      <c r="K6" s="106">
        <v>8.5</v>
      </c>
      <c r="L6" s="106">
        <v>11.3</v>
      </c>
      <c r="M6" s="106">
        <v>12.9</v>
      </c>
      <c r="N6" s="106">
        <v>12.7</v>
      </c>
      <c r="O6" s="106">
        <v>11.5</v>
      </c>
      <c r="P6" s="106">
        <v>6.4</v>
      </c>
      <c r="Q6" s="106">
        <v>2.75</v>
      </c>
      <c r="R6" s="106">
        <v>-1.8</v>
      </c>
      <c r="S6" s="108"/>
      <c r="T6" s="106">
        <v>54</v>
      </c>
      <c r="U6" s="106">
        <v>70</v>
      </c>
      <c r="V6" s="106">
        <v>65</v>
      </c>
      <c r="W6" s="106">
        <v>70</v>
      </c>
      <c r="X6" s="106">
        <v>76</v>
      </c>
      <c r="Y6" s="106">
        <v>84</v>
      </c>
      <c r="Z6" s="106">
        <v>90</v>
      </c>
      <c r="AA6" s="106">
        <v>90</v>
      </c>
      <c r="AB6" s="106">
        <v>87</v>
      </c>
      <c r="AC6" s="106">
        <v>75</v>
      </c>
      <c r="AD6" s="106">
        <v>60</v>
      </c>
      <c r="AE6" s="106">
        <v>45.5</v>
      </c>
    </row>
    <row r="7" spans="2:31">
      <c r="B7" t="s">
        <v>183</v>
      </c>
      <c r="C7" s="40">
        <v>0.04</v>
      </c>
      <c r="D7" s="97">
        <v>10</v>
      </c>
      <c r="F7" s="104" t="s">
        <v>251</v>
      </c>
      <c r="G7" s="107">
        <v>-1.3</v>
      </c>
      <c r="H7" s="107">
        <v>0.8</v>
      </c>
      <c r="I7" s="107">
        <v>5.6</v>
      </c>
      <c r="J7" s="107">
        <v>10.3</v>
      </c>
      <c r="K7" s="107">
        <v>14.4</v>
      </c>
      <c r="L7" s="107">
        <v>17.899999999999999</v>
      </c>
      <c r="M7" s="107">
        <v>18.899999999999999</v>
      </c>
      <c r="N7" s="107">
        <v>18.5</v>
      </c>
      <c r="O7" s="107">
        <v>14.2</v>
      </c>
      <c r="P7" s="107">
        <v>10</v>
      </c>
      <c r="Q7" s="107">
        <v>4.4000000000000004</v>
      </c>
      <c r="R7" s="107">
        <v>-0.1</v>
      </c>
      <c r="S7" s="109"/>
      <c r="T7" s="107">
        <v>82</v>
      </c>
      <c r="U7" s="107">
        <v>75</v>
      </c>
      <c r="V7" s="107">
        <v>68</v>
      </c>
      <c r="W7" s="107">
        <v>63</v>
      </c>
      <c r="X7" s="107">
        <v>66</v>
      </c>
      <c r="Y7" s="107">
        <v>67</v>
      </c>
      <c r="Z7" s="107">
        <v>69</v>
      </c>
      <c r="AA7" s="107">
        <v>71</v>
      </c>
      <c r="AB7" s="107">
        <v>75</v>
      </c>
      <c r="AC7" s="107">
        <v>76</v>
      </c>
      <c r="AD7" s="107">
        <v>80</v>
      </c>
      <c r="AE7" s="107">
        <v>83</v>
      </c>
    </row>
    <row r="8" spans="2:31">
      <c r="B8" t="s">
        <v>184</v>
      </c>
      <c r="C8" s="40">
        <v>0.28999999999999998</v>
      </c>
      <c r="D8" s="97">
        <v>1</v>
      </c>
      <c r="F8" s="105" t="s">
        <v>230</v>
      </c>
      <c r="G8" s="106">
        <v>-20</v>
      </c>
      <c r="H8" s="106">
        <v>35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8"/>
      <c r="T8" s="106">
        <v>80</v>
      </c>
      <c r="U8" s="106">
        <v>80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</row>
    <row r="9" spans="2:31">
      <c r="B9" t="s">
        <v>166</v>
      </c>
      <c r="C9" s="40">
        <v>0.6</v>
      </c>
      <c r="D9" s="97">
        <v>12</v>
      </c>
    </row>
    <row r="10" spans="2:31">
      <c r="B10" t="s">
        <v>167</v>
      </c>
      <c r="C10" s="40">
        <v>0.25</v>
      </c>
      <c r="D10" s="97">
        <v>7</v>
      </c>
    </row>
    <row r="11" spans="2:31">
      <c r="B11" t="s">
        <v>185</v>
      </c>
      <c r="C11" s="40">
        <v>0.12</v>
      </c>
      <c r="D11" s="97">
        <v>7</v>
      </c>
    </row>
    <row r="12" spans="2:31">
      <c r="B12" t="s">
        <v>162</v>
      </c>
      <c r="C12" s="40">
        <v>2.1</v>
      </c>
      <c r="D12" s="97">
        <v>120</v>
      </c>
    </row>
    <row r="13" spans="2:31">
      <c r="B13" t="s">
        <v>67</v>
      </c>
      <c r="C13" s="40">
        <v>0.13</v>
      </c>
      <c r="D13" s="97">
        <v>40</v>
      </c>
    </row>
    <row r="14" spans="2:31">
      <c r="B14" t="s">
        <v>165</v>
      </c>
      <c r="C14" s="40">
        <v>0.17</v>
      </c>
      <c r="D14" s="97">
        <v>40000</v>
      </c>
    </row>
    <row r="15" spans="2:31">
      <c r="B15" t="s">
        <v>164</v>
      </c>
      <c r="C15" s="40">
        <v>0.17</v>
      </c>
      <c r="D15" s="97">
        <v>9</v>
      </c>
    </row>
    <row r="16" spans="2:31">
      <c r="B16" t="s">
        <v>188</v>
      </c>
      <c r="C16" s="40">
        <v>0.17</v>
      </c>
      <c r="D16" s="97">
        <v>200</v>
      </c>
    </row>
  </sheetData>
  <mergeCells count="5">
    <mergeCell ref="B1:D1"/>
    <mergeCell ref="G2:R2"/>
    <mergeCell ref="T2:AE2"/>
    <mergeCell ref="AD1:AE1"/>
    <mergeCell ref="F1:AC1"/>
  </mergeCells>
  <pageMargins left="0.7" right="0.7" top="0.78740157499999996" bottom="0.78740157499999996" header="0.3" footer="0.3"/>
  <pageSetup paperSize="9" orientation="portrait" verticalDpi="0"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B1:E25"/>
  <sheetViews>
    <sheetView zoomScaleNormal="100" workbookViewId="0">
      <selection activeCell="D3" sqref="D3"/>
    </sheetView>
  </sheetViews>
  <sheetFormatPr baseColWidth="10" defaultRowHeight="14.5"/>
  <cols>
    <col min="3" max="3" width="44" customWidth="1"/>
    <col min="4" max="4" width="15.1796875" bestFit="1" customWidth="1"/>
    <col min="9" max="9" width="11.1796875" customWidth="1"/>
  </cols>
  <sheetData>
    <row r="1" spans="2:5" ht="23.5">
      <c r="B1" s="36" t="s">
        <v>159</v>
      </c>
      <c r="C1" s="11"/>
      <c r="D1" s="11"/>
      <c r="E1" s="11"/>
    </row>
    <row r="2" spans="2:5" ht="23.5">
      <c r="B2" s="36" t="s">
        <v>160</v>
      </c>
      <c r="C2" s="11"/>
      <c r="D2" s="11"/>
      <c r="E2" s="11"/>
    </row>
    <row r="3" spans="2:5" ht="21">
      <c r="B3" s="35" t="s">
        <v>263</v>
      </c>
      <c r="C3" s="35"/>
      <c r="D3" s="231">
        <v>0.1</v>
      </c>
      <c r="E3" s="35" t="s">
        <v>2</v>
      </c>
    </row>
    <row r="4" spans="2:5" ht="21">
      <c r="B4" s="35" t="s">
        <v>264</v>
      </c>
      <c r="C4" s="35"/>
      <c r="D4" s="231">
        <v>2E-3</v>
      </c>
      <c r="E4" s="35" t="s">
        <v>2</v>
      </c>
    </row>
    <row r="5" spans="2:5" ht="21">
      <c r="B5" s="35" t="s">
        <v>265</v>
      </c>
      <c r="C5" s="35"/>
      <c r="D5" s="231">
        <v>250</v>
      </c>
      <c r="E5" s="35" t="s">
        <v>10</v>
      </c>
    </row>
    <row r="6" spans="2:5" ht="21">
      <c r="B6" s="35" t="s">
        <v>266</v>
      </c>
      <c r="C6" s="240"/>
      <c r="D6" s="231">
        <v>0.05</v>
      </c>
      <c r="E6" s="35" t="s">
        <v>2</v>
      </c>
    </row>
    <row r="7" spans="2:5" ht="21">
      <c r="B7" s="35" t="s">
        <v>267</v>
      </c>
      <c r="C7" s="35"/>
      <c r="D7" s="231">
        <v>0.04</v>
      </c>
      <c r="E7" s="35" t="s">
        <v>3</v>
      </c>
    </row>
    <row r="8" spans="2:5" ht="21">
      <c r="B8" s="35" t="s">
        <v>271</v>
      </c>
      <c r="C8" s="35"/>
      <c r="D8" s="231">
        <v>500</v>
      </c>
      <c r="E8" s="35" t="s">
        <v>0</v>
      </c>
    </row>
    <row r="9" spans="2:5" ht="21">
      <c r="B9" s="35" t="s">
        <v>270</v>
      </c>
      <c r="C9" s="35"/>
      <c r="D9" s="231">
        <v>14</v>
      </c>
      <c r="E9" s="35" t="s">
        <v>0</v>
      </c>
    </row>
    <row r="10" spans="2:5" ht="18.5">
      <c r="B10" s="11"/>
      <c r="C10" s="11"/>
      <c r="D10" s="11"/>
      <c r="E10" s="11"/>
    </row>
    <row r="11" spans="2:5" ht="18.5">
      <c r="B11" s="12" t="s">
        <v>15</v>
      </c>
      <c r="C11" s="12"/>
      <c r="D11" s="12"/>
      <c r="E11" s="12"/>
    </row>
    <row r="12" spans="2:5" ht="18.5">
      <c r="B12" s="12" t="s">
        <v>1</v>
      </c>
      <c r="C12" s="12"/>
      <c r="D12" s="12">
        <f>D3-2*D4</f>
        <v>9.6000000000000002E-2</v>
      </c>
      <c r="E12" s="12" t="s">
        <v>2</v>
      </c>
    </row>
    <row r="13" spans="2:5" ht="18.5">
      <c r="B13" s="12" t="s">
        <v>6</v>
      </c>
      <c r="C13" s="12"/>
      <c r="D13" s="12">
        <f>D3+2*D6</f>
        <v>0.2</v>
      </c>
      <c r="E13" s="12" t="s">
        <v>2</v>
      </c>
    </row>
    <row r="14" spans="2:5" ht="18.5">
      <c r="B14" s="12" t="s">
        <v>5</v>
      </c>
      <c r="C14" s="12"/>
      <c r="D14" s="13">
        <f>(D3-D12)/LN(D3/D12)</f>
        <v>9.7986393046407119E-2</v>
      </c>
      <c r="E14" s="12" t="s">
        <v>2</v>
      </c>
    </row>
    <row r="15" spans="2:5" ht="18.5">
      <c r="B15" s="12" t="s">
        <v>4</v>
      </c>
      <c r="C15" s="12"/>
      <c r="D15" s="13">
        <f>(D3-D13)/LN(D3/D13)</f>
        <v>0.14426950408889636</v>
      </c>
      <c r="E15" s="12" t="s">
        <v>2</v>
      </c>
    </row>
    <row r="16" spans="2:5" ht="18.5">
      <c r="B16" s="12"/>
      <c r="C16" s="12"/>
      <c r="D16" s="12"/>
      <c r="E16" s="12"/>
    </row>
    <row r="17" spans="2:5" ht="18.5">
      <c r="B17" s="12" t="s">
        <v>7</v>
      </c>
      <c r="C17" s="12"/>
      <c r="D17" s="14">
        <f>1/D8</f>
        <v>2E-3</v>
      </c>
      <c r="E17" s="12" t="s">
        <v>13</v>
      </c>
    </row>
    <row r="18" spans="2:5" ht="18.5">
      <c r="B18" s="12" t="s">
        <v>9</v>
      </c>
      <c r="C18" s="12"/>
      <c r="D18" s="14">
        <f>D4/D5*D12/D14</f>
        <v>7.8378229478889908E-6</v>
      </c>
      <c r="E18" s="12" t="s">
        <v>13</v>
      </c>
    </row>
    <row r="19" spans="2:5" ht="18.5">
      <c r="B19" s="12" t="s">
        <v>8</v>
      </c>
      <c r="C19" s="12"/>
      <c r="D19" s="14">
        <f>D6/D7*D12/D15</f>
        <v>0.83177661667193425</v>
      </c>
      <c r="E19" s="12" t="s">
        <v>13</v>
      </c>
    </row>
    <row r="20" spans="2:5" ht="18.5">
      <c r="B20" s="12" t="s">
        <v>12</v>
      </c>
      <c r="C20" s="12"/>
      <c r="D20" s="14">
        <f>1/D9*D12/D13</f>
        <v>3.428571428571428E-2</v>
      </c>
      <c r="E20" s="12" t="s">
        <v>13</v>
      </c>
    </row>
    <row r="21" spans="2:5" ht="18.5">
      <c r="B21" s="12"/>
      <c r="C21" s="12"/>
      <c r="D21" s="14"/>
      <c r="E21" s="12"/>
    </row>
    <row r="22" spans="2:5" ht="18.5">
      <c r="B22" s="12" t="s">
        <v>11</v>
      </c>
      <c r="C22" s="12"/>
      <c r="D22" s="14">
        <f>SUM(D17:D21)</f>
        <v>0.8680701687805964</v>
      </c>
      <c r="E22" s="12" t="s">
        <v>13</v>
      </c>
    </row>
    <row r="23" spans="2:5" ht="18.5">
      <c r="B23" s="12" t="s">
        <v>16</v>
      </c>
      <c r="C23" s="12"/>
      <c r="D23" s="14">
        <f>1/D22</f>
        <v>1.1519806070570646</v>
      </c>
      <c r="E23" s="12" t="s">
        <v>0</v>
      </c>
    </row>
    <row r="24" spans="2:5" ht="18.5">
      <c r="B24" s="12"/>
      <c r="C24" s="12"/>
      <c r="D24" s="14"/>
      <c r="E24" s="12"/>
    </row>
    <row r="25" spans="2:5" ht="18.5">
      <c r="B25" s="12" t="s">
        <v>17</v>
      </c>
      <c r="C25" s="12"/>
      <c r="D25" s="14">
        <f>1/(1/D9*D12/D13+D6/D7*D12/D15+D4/D5*D12/D14+1/D8)</f>
        <v>1.1519806070570646</v>
      </c>
      <c r="E25" s="12" t="s">
        <v>0</v>
      </c>
    </row>
  </sheetData>
  <sheetProtection sheet="1" selectLockedCells="1"/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31" r:id="rId4">
          <objectPr defaultSize="0" autoPict="0" r:id="rId5">
            <anchor moveWithCells="1" sizeWithCells="1">
              <from>
                <xdr:col>10</xdr:col>
                <xdr:colOff>419100</xdr:colOff>
                <xdr:row>0</xdr:row>
                <xdr:rowOff>165100</xdr:rowOff>
              </from>
              <to>
                <xdr:col>19</xdr:col>
                <xdr:colOff>361950</xdr:colOff>
                <xdr:row>15</xdr:row>
                <xdr:rowOff>82550</xdr:rowOff>
              </to>
            </anchor>
          </objectPr>
        </oleObject>
      </mc:Choice>
      <mc:Fallback>
        <oleObject progId="Equation.DSMT4" shapeId="1031" r:id="rId4"/>
      </mc:Fallback>
    </mc:AlternateContent>
    <mc:AlternateContent xmlns:mc="http://schemas.openxmlformats.org/markup-compatibility/2006">
      <mc:Choice Requires="x14">
        <oleObject progId="Equation.DSMT4" shapeId="1029" r:id="rId6">
          <objectPr defaultSize="0" autoPict="0" r:id="rId7">
            <anchor moveWithCells="1" sizeWithCells="1">
              <from>
                <xdr:col>10</xdr:col>
                <xdr:colOff>419100</xdr:colOff>
                <xdr:row>14</xdr:row>
                <xdr:rowOff>215900</xdr:rowOff>
              </from>
              <to>
                <xdr:col>18</xdr:col>
                <xdr:colOff>228600</xdr:colOff>
                <xdr:row>21</xdr:row>
                <xdr:rowOff>82550</xdr:rowOff>
              </to>
            </anchor>
          </objectPr>
        </oleObject>
      </mc:Choice>
      <mc:Fallback>
        <oleObject progId="Equation.DSMT4" shapeId="1029" r:id="rId6"/>
      </mc:Fallback>
    </mc:AlternateContent>
    <mc:AlternateContent xmlns:mc="http://schemas.openxmlformats.org/markup-compatibility/2006">
      <mc:Choice Requires="x14">
        <oleObject progId="Equation.DSMT4" shapeId="1030" r:id="rId8">
          <objectPr defaultSize="0" autoPict="0" r:id="rId9">
            <anchor moveWithCells="1" sizeWithCells="1">
              <from>
                <xdr:col>16</xdr:col>
                <xdr:colOff>609600</xdr:colOff>
                <xdr:row>9</xdr:row>
                <xdr:rowOff>165100</xdr:rowOff>
              </from>
              <to>
                <xdr:col>19</xdr:col>
                <xdr:colOff>0</xdr:colOff>
                <xdr:row>14</xdr:row>
                <xdr:rowOff>228600</xdr:rowOff>
              </to>
            </anchor>
          </objectPr>
        </oleObject>
      </mc:Choice>
      <mc:Fallback>
        <oleObject progId="Equation.DSMT4" shapeId="1030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L35"/>
  <sheetViews>
    <sheetView zoomScaleNormal="100" workbookViewId="0">
      <selection activeCell="B3" sqref="B3"/>
    </sheetView>
  </sheetViews>
  <sheetFormatPr baseColWidth="10" defaultRowHeight="14.5"/>
  <cols>
    <col min="1" max="1" width="21.1796875" customWidth="1"/>
    <col min="2" max="2" width="12.81640625" bestFit="1" customWidth="1"/>
    <col min="3" max="3" width="7.453125" customWidth="1"/>
    <col min="5" max="5" width="13.1796875" customWidth="1"/>
    <col min="6" max="6" width="12.54296875" customWidth="1"/>
    <col min="7" max="7" width="9.1796875" customWidth="1"/>
  </cols>
  <sheetData>
    <row r="1" spans="1:12">
      <c r="K1">
        <v>120</v>
      </c>
      <c r="L1" t="s">
        <v>52</v>
      </c>
    </row>
    <row r="2" spans="1:12" ht="18.5">
      <c r="A2" s="9" t="s">
        <v>49</v>
      </c>
      <c r="B2" s="1"/>
      <c r="C2" s="1"/>
      <c r="D2" s="6"/>
      <c r="E2" s="266" t="s">
        <v>51</v>
      </c>
      <c r="F2" s="266"/>
      <c r="G2" s="266"/>
      <c r="H2" s="266"/>
      <c r="I2" s="266"/>
      <c r="K2">
        <v>10</v>
      </c>
      <c r="L2" t="s">
        <v>53</v>
      </c>
    </row>
    <row r="3" spans="1:12">
      <c r="A3" s="1" t="s">
        <v>123</v>
      </c>
      <c r="B3" s="232">
        <v>55</v>
      </c>
      <c r="C3" s="1" t="s">
        <v>18</v>
      </c>
      <c r="D3" s="6"/>
      <c r="E3" s="6"/>
      <c r="F3" s="6"/>
      <c r="G3" s="6"/>
      <c r="H3" s="6"/>
      <c r="I3" s="6"/>
      <c r="K3">
        <f>K2*60</f>
        <v>600</v>
      </c>
      <c r="L3" t="s">
        <v>54</v>
      </c>
    </row>
    <row r="4" spans="1:12">
      <c r="A4" s="1" t="s">
        <v>124</v>
      </c>
      <c r="B4" s="232">
        <v>10</v>
      </c>
      <c r="C4" s="1" t="s">
        <v>18</v>
      </c>
      <c r="D4" s="6"/>
      <c r="E4" s="6"/>
      <c r="F4" s="6" t="s">
        <v>43</v>
      </c>
      <c r="G4" s="6" t="s">
        <v>44</v>
      </c>
      <c r="H4" s="6"/>
      <c r="I4" s="6" t="s">
        <v>56</v>
      </c>
      <c r="K4">
        <f>K1/K3</f>
        <v>0.2</v>
      </c>
      <c r="L4" t="s">
        <v>21</v>
      </c>
    </row>
    <row r="5" spans="1:12">
      <c r="A5" s="1" t="s">
        <v>20</v>
      </c>
      <c r="B5" s="233">
        <v>0.16669999999999999</v>
      </c>
      <c r="C5" s="1" t="s">
        <v>21</v>
      </c>
      <c r="D5" s="6"/>
      <c r="E5" s="6" t="s">
        <v>45</v>
      </c>
      <c r="F5" s="6">
        <f>B3</f>
        <v>55</v>
      </c>
      <c r="G5" s="7">
        <f>B30</f>
        <v>30.683957843368525</v>
      </c>
      <c r="H5" s="6"/>
      <c r="I5" s="8">
        <f>B5*B7*(G5-F5)</f>
        <v>-16943.564070993751</v>
      </c>
      <c r="K5">
        <f>K4*4.18*(40-10)</f>
        <v>25.08</v>
      </c>
      <c r="L5" t="s">
        <v>133</v>
      </c>
    </row>
    <row r="6" spans="1:12">
      <c r="A6" s="1" t="s">
        <v>19</v>
      </c>
      <c r="B6" s="233">
        <v>0.2</v>
      </c>
      <c r="C6" s="1" t="s">
        <v>21</v>
      </c>
      <c r="D6" s="6"/>
      <c r="E6" s="6" t="s">
        <v>46</v>
      </c>
      <c r="F6" s="6">
        <f>B4</f>
        <v>10</v>
      </c>
      <c r="G6" s="7">
        <f>B29</f>
        <v>30.267421137552333</v>
      </c>
      <c r="H6" s="6"/>
      <c r="I6" s="8">
        <f>B6*B8*(G6-F6)</f>
        <v>16943.564070993751</v>
      </c>
    </row>
    <row r="7" spans="1:12">
      <c r="A7" s="1" t="s">
        <v>29</v>
      </c>
      <c r="B7" s="232">
        <v>4180</v>
      </c>
      <c r="C7" s="1" t="s">
        <v>22</v>
      </c>
      <c r="D7" s="6"/>
      <c r="E7" s="6"/>
      <c r="F7" s="6"/>
      <c r="G7" s="6"/>
      <c r="H7" s="6"/>
      <c r="I7" s="6"/>
    </row>
    <row r="8" spans="1:12">
      <c r="A8" s="1" t="s">
        <v>30</v>
      </c>
      <c r="B8" s="232">
        <v>4180</v>
      </c>
      <c r="C8" s="1" t="s">
        <v>22</v>
      </c>
      <c r="D8" s="6"/>
      <c r="E8" s="6"/>
      <c r="F8" s="6"/>
      <c r="G8" s="6"/>
      <c r="H8" s="6"/>
      <c r="I8" s="6" t="s">
        <v>56</v>
      </c>
    </row>
    <row r="9" spans="1:12">
      <c r="A9" s="1" t="s">
        <v>26</v>
      </c>
      <c r="B9" s="232">
        <v>500</v>
      </c>
      <c r="C9" s="1" t="s">
        <v>0</v>
      </c>
      <c r="D9" s="6"/>
      <c r="E9" s="6" t="s">
        <v>56</v>
      </c>
      <c r="F9" s="8">
        <v>0</v>
      </c>
      <c r="G9" s="7">
        <f>I6</f>
        <v>16943.564070993751</v>
      </c>
      <c r="H9" s="7">
        <f>I13</f>
        <v>25081.591076717701</v>
      </c>
      <c r="I9" s="6"/>
    </row>
    <row r="10" spans="1:12">
      <c r="A10" s="1" t="s">
        <v>27</v>
      </c>
      <c r="B10" s="234">
        <v>4.2699999999999996</v>
      </c>
      <c r="C10" s="1" t="s">
        <v>28</v>
      </c>
      <c r="D10" s="6" t="s">
        <v>57</v>
      </c>
      <c r="E10" s="6" t="s">
        <v>45</v>
      </c>
      <c r="F10" s="6">
        <f>B3</f>
        <v>55</v>
      </c>
      <c r="G10" s="7">
        <f>B30</f>
        <v>30.683957843368525</v>
      </c>
      <c r="H10" s="6"/>
      <c r="I10" s="6"/>
    </row>
    <row r="11" spans="1:12">
      <c r="B11" s="5"/>
      <c r="D11" s="6"/>
      <c r="E11" s="6" t="s">
        <v>46</v>
      </c>
      <c r="F11" s="6">
        <f>B4</f>
        <v>10</v>
      </c>
      <c r="G11" s="7">
        <f>B29</f>
        <v>30.267421137552333</v>
      </c>
      <c r="H11" s="6"/>
      <c r="I11" s="6"/>
    </row>
    <row r="12" spans="1:12" ht="18.5">
      <c r="A12" s="10" t="s">
        <v>50</v>
      </c>
      <c r="B12" s="2"/>
      <c r="C12" s="2"/>
      <c r="D12" s="6" t="s">
        <v>58</v>
      </c>
      <c r="E12" s="6" t="s">
        <v>47</v>
      </c>
      <c r="F12" s="6">
        <f>B3</f>
        <v>55</v>
      </c>
      <c r="G12" s="7">
        <f>F12-G9/H9*(F12-H12)</f>
        <v>30.683957843368521</v>
      </c>
      <c r="H12" s="7">
        <f>B23</f>
        <v>19.004915174786518</v>
      </c>
      <c r="I12" s="7">
        <f>B5*B7*(H12-F12)</f>
        <v>-25081.591076717701</v>
      </c>
      <c r="K12" t="s">
        <v>55</v>
      </c>
    </row>
    <row r="13" spans="1:12">
      <c r="A13" s="2" t="s">
        <v>23</v>
      </c>
      <c r="B13" s="27">
        <f>B5*B7</f>
        <v>696.80599999999993</v>
      </c>
      <c r="C13" s="2" t="s">
        <v>36</v>
      </c>
      <c r="D13" s="6"/>
      <c r="E13" s="6" t="s">
        <v>48</v>
      </c>
      <c r="F13" s="7">
        <f>B22</f>
        <v>40.001903201815431</v>
      </c>
      <c r="G13" s="7">
        <f>F13-G9/H9*(F13-H13)</f>
        <v>19.734482064263098</v>
      </c>
      <c r="H13" s="6">
        <f>B4</f>
        <v>10</v>
      </c>
      <c r="I13" s="7">
        <f>B6*B8*(F13-H13)</f>
        <v>25081.591076717701</v>
      </c>
    </row>
    <row r="14" spans="1:12">
      <c r="A14" s="2" t="s">
        <v>24</v>
      </c>
      <c r="B14" s="27">
        <f>B6*B8</f>
        <v>836</v>
      </c>
      <c r="C14" s="2" t="s">
        <v>36</v>
      </c>
    </row>
    <row r="15" spans="1:12">
      <c r="A15" s="2" t="s">
        <v>34</v>
      </c>
      <c r="B15" s="27">
        <f>IF(B13&gt;B14,B14,B13)</f>
        <v>696.80599999999993</v>
      </c>
      <c r="C15" s="2" t="s">
        <v>36</v>
      </c>
    </row>
    <row r="16" spans="1:12">
      <c r="A16" s="2" t="s">
        <v>33</v>
      </c>
      <c r="B16" s="20">
        <f>IF(B13/B14&gt;1, B14/B13,B13/B14)</f>
        <v>0.83349999999999991</v>
      </c>
      <c r="C16" s="4" t="s">
        <v>37</v>
      </c>
    </row>
    <row r="17" spans="1:11">
      <c r="A17" s="2" t="s">
        <v>31</v>
      </c>
      <c r="B17" s="20">
        <f>(B9*B10)/B13</f>
        <v>3.0639805053343401</v>
      </c>
      <c r="C17" s="4" t="s">
        <v>37</v>
      </c>
      <c r="K17" t="s">
        <v>40</v>
      </c>
    </row>
    <row r="18" spans="1:11">
      <c r="A18" s="2" t="s">
        <v>32</v>
      </c>
      <c r="B18" s="20">
        <f>(B9*B10)/B14</f>
        <v>2.5538277511961724</v>
      </c>
      <c r="C18" s="4" t="s">
        <v>37</v>
      </c>
    </row>
    <row r="19" spans="1:11">
      <c r="A19" s="2" t="s">
        <v>25</v>
      </c>
      <c r="B19" s="20">
        <f>B9*B10/B15</f>
        <v>3.0639805053343401</v>
      </c>
      <c r="C19" s="4" t="s">
        <v>37</v>
      </c>
    </row>
    <row r="20" spans="1:11" ht="15.5">
      <c r="A20" s="15" t="s">
        <v>59</v>
      </c>
      <c r="B20" s="2" t="s">
        <v>60</v>
      </c>
      <c r="C20" s="2"/>
    </row>
    <row r="21" spans="1:11">
      <c r="A21" s="2" t="s">
        <v>128</v>
      </c>
      <c r="B21" s="20">
        <f>IF(B16=1,B19/(1+B19),(1-EXP(-B19*(1-B16)))/(1-B16*EXP(-B19*(1-B16))))</f>
        <v>0.79989077389363283</v>
      </c>
      <c r="C21" s="4" t="s">
        <v>37</v>
      </c>
    </row>
    <row r="22" spans="1:11">
      <c r="A22" s="2" t="s">
        <v>35</v>
      </c>
      <c r="B22" s="3">
        <f>B4+(B21*B15*(B3-B4))/B14</f>
        <v>40.001903201815431</v>
      </c>
      <c r="C22" s="2" t="s">
        <v>18</v>
      </c>
      <c r="D22">
        <f>LN((B3-B22)/(B23-B4))</f>
        <v>0.51015275413816819</v>
      </c>
    </row>
    <row r="23" spans="1:11">
      <c r="A23" s="2" t="s">
        <v>38</v>
      </c>
      <c r="B23" s="3">
        <f>B3-(B21*B15*(B3-B4))/B13</f>
        <v>19.004915174786518</v>
      </c>
      <c r="C23" s="2" t="s">
        <v>18</v>
      </c>
    </row>
    <row r="24" spans="1:11">
      <c r="A24" s="2" t="s">
        <v>63</v>
      </c>
      <c r="B24" s="20">
        <f>(B3-B23)/(B3-B4)</f>
        <v>0.79989077389363294</v>
      </c>
      <c r="C24" s="4" t="s">
        <v>37</v>
      </c>
    </row>
    <row r="25" spans="1:11">
      <c r="A25" s="2" t="s">
        <v>62</v>
      </c>
      <c r="B25" s="20">
        <f>(B22-B4)/(B3-B4)</f>
        <v>0.66670896004034286</v>
      </c>
      <c r="C25" s="4"/>
    </row>
    <row r="26" spans="1:11">
      <c r="A26" s="2" t="s">
        <v>41</v>
      </c>
      <c r="B26" s="3">
        <f>IF(B5-B6=0, B3-B22,((B3-B22)-(B23-B4))/LN((B3-B22)/(B23-B4)))</f>
        <v>11.747817834528199</v>
      </c>
      <c r="C26" s="2" t="s">
        <v>18</v>
      </c>
    </row>
    <row r="27" spans="1:11" ht="15.5">
      <c r="A27" s="15" t="s">
        <v>39</v>
      </c>
      <c r="B27" s="2"/>
      <c r="C27" s="2"/>
    </row>
    <row r="28" spans="1:11">
      <c r="A28" s="2" t="s">
        <v>61</v>
      </c>
      <c r="B28" s="30">
        <f>(1-EXP(-B18*(1+B16)))/(1+B16)</f>
        <v>0.54035649236958838</v>
      </c>
      <c r="C28" s="4" t="s">
        <v>37</v>
      </c>
    </row>
    <row r="29" spans="1:11">
      <c r="A29" s="2" t="s">
        <v>35</v>
      </c>
      <c r="B29" s="3">
        <f>B4+(B28*B15*(B3-B4))/B14</f>
        <v>30.267421137552333</v>
      </c>
      <c r="C29" s="2" t="s">
        <v>18</v>
      </c>
    </row>
    <row r="30" spans="1:11">
      <c r="A30" s="2" t="s">
        <v>38</v>
      </c>
      <c r="B30" s="3">
        <f>B3-(B28*B15*(B3-B4))/B13</f>
        <v>30.683957843368525</v>
      </c>
      <c r="C30" s="2" t="s">
        <v>18</v>
      </c>
    </row>
    <row r="31" spans="1:11">
      <c r="A31" s="2" t="s">
        <v>64</v>
      </c>
      <c r="B31" s="3">
        <f>(B3-B30)/(B3-B4)</f>
        <v>0.54035649236958838</v>
      </c>
      <c r="C31" s="4" t="s">
        <v>37</v>
      </c>
      <c r="D31">
        <f>(1-EXP(-B17*(1+1/B16)))/(1+1/B16)</f>
        <v>0.4540574230628624</v>
      </c>
    </row>
    <row r="32" spans="1:11">
      <c r="A32" s="2" t="s">
        <v>42</v>
      </c>
      <c r="B32" s="3">
        <f>((B3-B4)-(B30-B29))/LN((B3-B4)/(B30-B29))</f>
        <v>9.5214104182407429</v>
      </c>
      <c r="C32" s="2" t="s">
        <v>18</v>
      </c>
    </row>
    <row r="33" spans="1:3">
      <c r="A33" s="1" t="s">
        <v>125</v>
      </c>
      <c r="B33" s="1"/>
      <c r="C33" s="1"/>
    </row>
    <row r="34" spans="1:3">
      <c r="A34" s="1" t="s">
        <v>126</v>
      </c>
      <c r="B34" s="235">
        <v>50</v>
      </c>
      <c r="C34" s="1" t="s">
        <v>18</v>
      </c>
    </row>
    <row r="35" spans="1:3">
      <c r="A35" s="2" t="s">
        <v>127</v>
      </c>
      <c r="B35" s="3">
        <f>B3-((B3-B34)*B13)/(B21*B15)</f>
        <v>48.749146554520848</v>
      </c>
      <c r="C35" s="2" t="s">
        <v>18</v>
      </c>
    </row>
  </sheetData>
  <sheetProtection sheet="1" objects="1" scenarios="1" selectLockedCells="1"/>
  <mergeCells count="1">
    <mergeCell ref="E2:I2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autoPict="0" r:id="rId5">
            <anchor moveWithCells="1" sizeWithCells="1">
              <from>
                <xdr:col>9</xdr:col>
                <xdr:colOff>736600</xdr:colOff>
                <xdr:row>5</xdr:row>
                <xdr:rowOff>107950</xdr:rowOff>
              </from>
              <to>
                <xdr:col>16</xdr:col>
                <xdr:colOff>374650</xdr:colOff>
                <xdr:row>8</xdr:row>
                <xdr:rowOff>146050</xdr:rowOff>
              </to>
            </anchor>
          </objectPr>
        </oleObject>
      </mc:Choice>
      <mc:Fallback>
        <oleObject progId="Equation.DSMT4" shapeId="2049" r:id="rId4"/>
      </mc:Fallback>
    </mc:AlternateContent>
    <mc:AlternateContent xmlns:mc="http://schemas.openxmlformats.org/markup-compatibility/2006">
      <mc:Choice Requires="x14">
        <oleObject progId="Equation.3" shapeId="2051" r:id="rId6">
          <objectPr defaultSize="0" autoPict="0" r:id="rId7">
            <anchor moveWithCells="1" sizeWithCells="1">
              <from>
                <xdr:col>10</xdr:col>
                <xdr:colOff>260350</xdr:colOff>
                <xdr:row>29</xdr:row>
                <xdr:rowOff>38100</xdr:rowOff>
              </from>
              <to>
                <xdr:col>13</xdr:col>
                <xdr:colOff>25400</xdr:colOff>
                <xdr:row>33</xdr:row>
                <xdr:rowOff>12700</xdr:rowOff>
              </to>
            </anchor>
          </objectPr>
        </oleObject>
      </mc:Choice>
      <mc:Fallback>
        <oleObject progId="Equation.3" shapeId="2051" r:id="rId6"/>
      </mc:Fallback>
    </mc:AlternateContent>
    <mc:AlternateContent xmlns:mc="http://schemas.openxmlformats.org/markup-compatibility/2006">
      <mc:Choice Requires="x14">
        <oleObject progId="Equation.DSMT4" shapeId="2052" r:id="rId8">
          <objectPr defaultSize="0" autoPict="0" r:id="rId9">
            <anchor moveWithCells="1" sizeWithCells="1">
              <from>
                <xdr:col>10</xdr:col>
                <xdr:colOff>266700</xdr:colOff>
                <xdr:row>21</xdr:row>
                <xdr:rowOff>177800</xdr:rowOff>
              </from>
              <to>
                <xdr:col>14</xdr:col>
                <xdr:colOff>0</xdr:colOff>
                <xdr:row>25</xdr:row>
                <xdr:rowOff>38100</xdr:rowOff>
              </to>
            </anchor>
          </objectPr>
        </oleObject>
      </mc:Choice>
      <mc:Fallback>
        <oleObject progId="Equation.DSMT4" shapeId="2052" r:id="rId8"/>
      </mc:Fallback>
    </mc:AlternateContent>
    <mc:AlternateContent xmlns:mc="http://schemas.openxmlformats.org/markup-compatibility/2006">
      <mc:Choice Requires="x14">
        <oleObject progId="Equation.DSMT4" shapeId="2053" r:id="rId10">
          <objectPr defaultSize="0" autoPict="0" r:id="rId11">
            <anchor moveWithCells="1" sizeWithCells="1">
              <from>
                <xdr:col>10</xdr:col>
                <xdr:colOff>304800</xdr:colOff>
                <xdr:row>25</xdr:row>
                <xdr:rowOff>50800</xdr:rowOff>
              </from>
              <to>
                <xdr:col>14</xdr:col>
                <xdr:colOff>88900</xdr:colOff>
                <xdr:row>28</xdr:row>
                <xdr:rowOff>88900</xdr:rowOff>
              </to>
            </anchor>
          </objectPr>
        </oleObject>
      </mc:Choice>
      <mc:Fallback>
        <oleObject progId="Equation.DSMT4" shapeId="2053" r:id="rId10"/>
      </mc:Fallback>
    </mc:AlternateContent>
    <mc:AlternateContent xmlns:mc="http://schemas.openxmlformats.org/markup-compatibility/2006">
      <mc:Choice Requires="x14">
        <oleObject progId="Equation.DSMT4" shapeId="2054" r:id="rId12">
          <objectPr defaultSize="0" r:id="rId13">
            <anchor moveWithCells="1">
              <from>
                <xdr:col>11</xdr:col>
                <xdr:colOff>609600</xdr:colOff>
                <xdr:row>18</xdr:row>
                <xdr:rowOff>165100</xdr:rowOff>
              </from>
              <to>
                <xdr:col>15</xdr:col>
                <xdr:colOff>355600</xdr:colOff>
                <xdr:row>20</xdr:row>
                <xdr:rowOff>146050</xdr:rowOff>
              </to>
            </anchor>
          </objectPr>
        </oleObject>
      </mc:Choice>
      <mc:Fallback>
        <oleObject progId="Equation.DSMT4" shapeId="2054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54"/>
  <sheetViews>
    <sheetView zoomScaleNormal="100" workbookViewId="0">
      <selection activeCell="D4" sqref="D4"/>
    </sheetView>
  </sheetViews>
  <sheetFormatPr baseColWidth="10" defaultRowHeight="14.5"/>
  <cols>
    <col min="1" max="1" width="19.1796875" customWidth="1"/>
    <col min="2" max="2" width="7.453125" customWidth="1"/>
    <col min="5" max="7" width="13.54296875" bestFit="1" customWidth="1"/>
  </cols>
  <sheetData>
    <row r="1" spans="1:13" ht="21">
      <c r="A1" s="267" t="s">
        <v>112</v>
      </c>
      <c r="B1" s="267"/>
      <c r="C1" s="267"/>
      <c r="D1" s="267"/>
      <c r="E1" s="267"/>
      <c r="F1" s="267"/>
      <c r="G1" s="267"/>
    </row>
    <row r="2" spans="1:13" ht="18.5">
      <c r="A2" t="s">
        <v>116</v>
      </c>
      <c r="B2">
        <v>0.23200000000000001</v>
      </c>
      <c r="D2" s="268" t="s">
        <v>268</v>
      </c>
      <c r="E2" s="268"/>
      <c r="F2" s="268"/>
      <c r="G2" s="268"/>
    </row>
    <row r="3" spans="1:13">
      <c r="A3" t="s">
        <v>117</v>
      </c>
      <c r="B3">
        <f>1-B2</f>
        <v>0.76800000000000002</v>
      </c>
      <c r="D3" s="238" t="s">
        <v>252</v>
      </c>
      <c r="E3" s="238" t="s">
        <v>65</v>
      </c>
      <c r="F3" s="238" t="s">
        <v>66</v>
      </c>
      <c r="G3" s="238" t="s">
        <v>67</v>
      </c>
    </row>
    <row r="4" spans="1:13">
      <c r="A4" t="s">
        <v>68</v>
      </c>
      <c r="B4">
        <v>12</v>
      </c>
      <c r="C4" t="s">
        <v>69</v>
      </c>
      <c r="D4" s="236">
        <f>12/20</f>
        <v>0.6</v>
      </c>
      <c r="E4" s="236">
        <v>0.77</v>
      </c>
      <c r="F4" s="236">
        <v>0.85</v>
      </c>
      <c r="G4" s="236">
        <v>0.37</v>
      </c>
      <c r="M4">
        <v>35</v>
      </c>
    </row>
    <row r="5" spans="1:13">
      <c r="A5" t="s">
        <v>70</v>
      </c>
      <c r="B5">
        <v>2</v>
      </c>
      <c r="C5" t="s">
        <v>69</v>
      </c>
      <c r="D5" s="236">
        <f>8/20</f>
        <v>0.4</v>
      </c>
      <c r="E5" s="236">
        <v>0.05</v>
      </c>
      <c r="F5" s="236">
        <v>0.15</v>
      </c>
      <c r="G5" s="236">
        <v>0.05</v>
      </c>
      <c r="M5">
        <v>4</v>
      </c>
    </row>
    <row r="6" spans="1:13">
      <c r="A6" t="s">
        <v>118</v>
      </c>
      <c r="B6">
        <v>32</v>
      </c>
      <c r="C6" t="s">
        <v>69</v>
      </c>
      <c r="D6" s="236">
        <v>0</v>
      </c>
      <c r="E6" s="236">
        <v>0.08</v>
      </c>
      <c r="F6" s="237">
        <v>0</v>
      </c>
      <c r="G6" s="236">
        <v>0.32</v>
      </c>
      <c r="M6">
        <v>30</v>
      </c>
    </row>
    <row r="7" spans="1:13">
      <c r="A7" t="s">
        <v>119</v>
      </c>
      <c r="B7">
        <v>28</v>
      </c>
      <c r="C7" t="s">
        <v>69</v>
      </c>
      <c r="D7" s="236">
        <v>0</v>
      </c>
      <c r="E7" s="236">
        <v>0.01</v>
      </c>
      <c r="F7" s="237">
        <v>0</v>
      </c>
      <c r="G7" s="236">
        <v>0</v>
      </c>
      <c r="M7">
        <v>0</v>
      </c>
    </row>
    <row r="8" spans="1:13">
      <c r="A8" t="s">
        <v>54</v>
      </c>
      <c r="B8">
        <v>32</v>
      </c>
      <c r="C8" t="s">
        <v>69</v>
      </c>
      <c r="D8" s="236">
        <v>0</v>
      </c>
      <c r="E8" s="236">
        <v>0.01</v>
      </c>
      <c r="F8" s="237">
        <v>0</v>
      </c>
      <c r="G8" s="236">
        <v>0</v>
      </c>
      <c r="M8">
        <v>0</v>
      </c>
    </row>
    <row r="9" spans="1:13">
      <c r="A9" t="s">
        <v>71</v>
      </c>
      <c r="B9">
        <v>36</v>
      </c>
      <c r="C9" t="s">
        <v>69</v>
      </c>
      <c r="D9" s="236">
        <v>0</v>
      </c>
      <c r="E9" s="236">
        <v>0.03</v>
      </c>
      <c r="F9" s="237">
        <v>0</v>
      </c>
      <c r="G9" s="236">
        <v>0.25</v>
      </c>
      <c r="M9">
        <v>30</v>
      </c>
    </row>
    <row r="10" spans="1:13">
      <c r="A10" t="s">
        <v>72</v>
      </c>
      <c r="C10" t="s">
        <v>69</v>
      </c>
      <c r="D10" s="236">
        <f>1-D4-D5-D6-D7-D8-D9</f>
        <v>0</v>
      </c>
      <c r="E10" s="236">
        <f>1-E4-E5-E6-E7-E8-E9</f>
        <v>0.05</v>
      </c>
      <c r="F10" s="236">
        <f>1-F4-F5-F6-F7-F8-F9</f>
        <v>2.7755575615628914E-17</v>
      </c>
      <c r="G10" s="236">
        <f>1-G4-G5-G6-G7-G8-G9</f>
        <v>9.9999999999999534E-3</v>
      </c>
      <c r="M10">
        <v>13578</v>
      </c>
    </row>
    <row r="11" spans="1:13">
      <c r="A11" t="s">
        <v>73</v>
      </c>
      <c r="D11" s="232">
        <v>1</v>
      </c>
      <c r="E11" s="232">
        <v>1</v>
      </c>
      <c r="F11" s="232">
        <v>1.5</v>
      </c>
      <c r="G11" s="232">
        <v>1</v>
      </c>
    </row>
    <row r="13" spans="1:13">
      <c r="A13" s="16" t="s">
        <v>74</v>
      </c>
      <c r="B13" s="16"/>
      <c r="C13" s="16" t="s">
        <v>75</v>
      </c>
      <c r="D13" s="17">
        <f>32*(D4/12+D5/4-D6/32+D8/32)</f>
        <v>4.8</v>
      </c>
      <c r="E13" s="17">
        <f>32*(E4/12+E5/4-E6/32+E8/32)</f>
        <v>2.3833333333333329</v>
      </c>
      <c r="F13" s="17">
        <f>32*(F4/12+F5/4-F6/32+F8/32)</f>
        <v>3.4666666666666668</v>
      </c>
      <c r="G13" s="17">
        <f>32*(G4/12+G5/4-G6/32+G8/32)</f>
        <v>1.0666666666666667</v>
      </c>
    </row>
    <row r="14" spans="1:13">
      <c r="A14" s="16" t="s">
        <v>76</v>
      </c>
      <c r="B14" s="16"/>
      <c r="C14" s="16" t="s">
        <v>77</v>
      </c>
      <c r="D14" s="17">
        <f>D13/0.232</f>
        <v>20.68965517241379</v>
      </c>
      <c r="E14" s="17">
        <f>E13/0.232</f>
        <v>10.272988505747124</v>
      </c>
      <c r="F14" s="17">
        <f>F13/0.232</f>
        <v>14.942528735632184</v>
      </c>
      <c r="G14" s="17">
        <f>G13/0.232</f>
        <v>4.5977011494252871</v>
      </c>
    </row>
    <row r="15" spans="1:13">
      <c r="A15" s="16"/>
      <c r="B15" s="16"/>
      <c r="C15" s="16" t="s">
        <v>78</v>
      </c>
      <c r="D15" s="17">
        <f>D14/29*22.4</f>
        <v>15.980975029726512</v>
      </c>
      <c r="E15" s="17">
        <f>E14/29*22.4</f>
        <v>7.9349980182322613</v>
      </c>
      <c r="F15" s="17">
        <f>F14/29*22.4</f>
        <v>11.541815299246929</v>
      </c>
      <c r="G15" s="17">
        <f>G14/29*22.4</f>
        <v>3.5513277843836701</v>
      </c>
    </row>
    <row r="16" spans="1:13">
      <c r="A16" s="16" t="s">
        <v>79</v>
      </c>
      <c r="B16" s="16"/>
      <c r="C16" s="16" t="s">
        <v>80</v>
      </c>
      <c r="D16" s="17">
        <f>0.767*D14</f>
        <v>15.868965517241378</v>
      </c>
      <c r="E16" s="17">
        <f>0.767*E14</f>
        <v>7.879382183908044</v>
      </c>
      <c r="F16" s="17">
        <f>0.767*F14</f>
        <v>11.460919540229884</v>
      </c>
      <c r="G16" s="17">
        <f>0.767*G14</f>
        <v>3.526436781609195</v>
      </c>
    </row>
    <row r="17" spans="1:11">
      <c r="A17" s="25" t="s">
        <v>81</v>
      </c>
      <c r="B17" s="25"/>
      <c r="C17" s="25" t="s">
        <v>120</v>
      </c>
      <c r="D17" s="26">
        <f>44/12*D4+64/32*D8+9*D5+D7+D16+D9</f>
        <v>21.668965517241379</v>
      </c>
      <c r="E17" s="26">
        <f>44/12*E4+64/32*E8+9*E5+E7+E16+E9</f>
        <v>11.212715517241376</v>
      </c>
      <c r="F17" s="26">
        <f>44/12*F4+64/32*F8+9*F5+F7+F16+F9</f>
        <v>15.927586206896549</v>
      </c>
      <c r="G17" s="26">
        <f>44/12*G4+64/32*G8+9*G5+G7+G16+G9</f>
        <v>5.5831034482758621</v>
      </c>
    </row>
    <row r="18" spans="1:11">
      <c r="A18" s="16"/>
      <c r="B18" s="16"/>
      <c r="C18" s="16" t="s">
        <v>121</v>
      </c>
      <c r="D18" s="16"/>
      <c r="E18" s="17"/>
      <c r="F18" s="17"/>
      <c r="G18" s="17"/>
    </row>
    <row r="19" spans="1:11">
      <c r="A19" s="16" t="s">
        <v>82</v>
      </c>
      <c r="B19" s="16"/>
      <c r="C19" s="16"/>
      <c r="D19" s="16"/>
      <c r="E19" s="17"/>
      <c r="F19" s="17"/>
      <c r="G19" s="17"/>
    </row>
    <row r="20" spans="1:11">
      <c r="A20" s="16" t="s">
        <v>132</v>
      </c>
      <c r="C20" s="16" t="s">
        <v>77</v>
      </c>
      <c r="D20" s="28">
        <f>D14*D11</f>
        <v>20.68965517241379</v>
      </c>
      <c r="E20" s="28">
        <f>E14*E11</f>
        <v>10.272988505747124</v>
      </c>
      <c r="F20" s="28">
        <f>F14*F11</f>
        <v>22.413793103448278</v>
      </c>
      <c r="G20" s="28">
        <f>G14*G11</f>
        <v>4.5977011494252871</v>
      </c>
    </row>
    <row r="21" spans="1:11">
      <c r="A21" s="16" t="s">
        <v>109</v>
      </c>
      <c r="B21" s="16"/>
      <c r="C21" s="16" t="s">
        <v>110</v>
      </c>
      <c r="D21" s="23">
        <v>35790</v>
      </c>
      <c r="E21" s="23">
        <f>34835*E4+93870*E5+6280*E7+10465*E8-10800*E6-2440*E9</f>
        <v>30746.7</v>
      </c>
      <c r="F21" s="23">
        <f>34835*F4+93870*F5+6280*F7+10465*F8-10800*F6-2440*F9</f>
        <v>43690.25</v>
      </c>
      <c r="G21" s="23">
        <f>34835*G4+93870*G5+6280*G7+10465*G8-10800*G6-2440*G9</f>
        <v>13516.45</v>
      </c>
    </row>
    <row r="22" spans="1:11">
      <c r="A22" s="16" t="s">
        <v>111</v>
      </c>
      <c r="B22" s="16"/>
      <c r="C22" s="16" t="s">
        <v>110</v>
      </c>
      <c r="D22" s="23">
        <v>39850</v>
      </c>
      <c r="E22" s="23">
        <f>E21+(9*E5+E9)*2428</f>
        <v>31912.14</v>
      </c>
      <c r="F22" s="23">
        <f>F21+(9*F5+F9)*2428</f>
        <v>46968.05</v>
      </c>
      <c r="G22" s="23">
        <f>G21+(9*G5+G9)*2428</f>
        <v>15216.050000000001</v>
      </c>
      <c r="K22" t="s">
        <v>122</v>
      </c>
    </row>
    <row r="23" spans="1:11">
      <c r="E23" s="18"/>
      <c r="F23" s="18"/>
      <c r="G23" s="18"/>
    </row>
    <row r="24" spans="1:11">
      <c r="A24" s="19" t="s">
        <v>83</v>
      </c>
      <c r="B24" s="19"/>
      <c r="C24" s="2"/>
      <c r="D24" s="2"/>
      <c r="E24" s="20"/>
      <c r="F24" s="20"/>
      <c r="G24" s="20"/>
    </row>
    <row r="25" spans="1:11">
      <c r="A25" s="19" t="s">
        <v>84</v>
      </c>
      <c r="B25" s="19"/>
      <c r="C25" s="2"/>
      <c r="D25" s="2"/>
      <c r="E25" s="20"/>
      <c r="F25" s="20"/>
      <c r="G25" s="20"/>
    </row>
    <row r="26" spans="1:11">
      <c r="A26" s="2" t="s">
        <v>85</v>
      </c>
      <c r="B26" s="2"/>
      <c r="C26" s="2" t="s">
        <v>86</v>
      </c>
      <c r="D26" s="20">
        <f>11/3*D4</f>
        <v>2.1999999999999997</v>
      </c>
      <c r="E26" s="20">
        <f>11/3*E4</f>
        <v>2.8233333333333333</v>
      </c>
      <c r="F26" s="20">
        <f>11/3*F4</f>
        <v>3.1166666666666663</v>
      </c>
      <c r="G26" s="20">
        <f>11/3*G4</f>
        <v>1.3566666666666667</v>
      </c>
    </row>
    <row r="27" spans="1:11">
      <c r="A27" s="2" t="s">
        <v>87</v>
      </c>
      <c r="B27" s="2"/>
      <c r="C27" s="2" t="s">
        <v>86</v>
      </c>
      <c r="D27" s="20">
        <f>2*D8</f>
        <v>0</v>
      </c>
      <c r="E27" s="20">
        <f>2*E8</f>
        <v>0.02</v>
      </c>
      <c r="F27" s="20">
        <f>2*F8</f>
        <v>0</v>
      </c>
      <c r="G27" s="20">
        <f>2*G8</f>
        <v>0</v>
      </c>
    </row>
    <row r="28" spans="1:11">
      <c r="A28" s="2" t="s">
        <v>88</v>
      </c>
      <c r="B28" s="2"/>
      <c r="C28" s="2" t="s">
        <v>86</v>
      </c>
      <c r="D28" s="20"/>
      <c r="E28" s="20"/>
      <c r="F28" s="20"/>
      <c r="G28" s="20"/>
    </row>
    <row r="29" spans="1:11">
      <c r="A29" s="2" t="s">
        <v>89</v>
      </c>
      <c r="B29" s="2"/>
      <c r="C29" s="2" t="s">
        <v>86</v>
      </c>
      <c r="D29" s="20">
        <f>9*D5+D9</f>
        <v>3.6</v>
      </c>
      <c r="E29" s="20">
        <f>9*E5+E9</f>
        <v>0.48</v>
      </c>
      <c r="F29" s="20">
        <f>9*F5+F9</f>
        <v>1.3499999999999999</v>
      </c>
      <c r="G29" s="20">
        <f>9*G5+G9</f>
        <v>0.7</v>
      </c>
    </row>
    <row r="30" spans="1:11">
      <c r="A30" s="2" t="s">
        <v>90</v>
      </c>
      <c r="B30" s="2"/>
      <c r="C30" s="2" t="s">
        <v>86</v>
      </c>
      <c r="D30" s="20">
        <f>0.232*(D11-1)*D14</f>
        <v>0</v>
      </c>
      <c r="E30" s="20">
        <f>0.232*(E11-1)*E14</f>
        <v>0</v>
      </c>
      <c r="F30" s="20">
        <f>0.232*(F11-1)*F14</f>
        <v>1.7333333333333334</v>
      </c>
      <c r="G30" s="20">
        <f>0.232*(G11-1)*G14</f>
        <v>0</v>
      </c>
    </row>
    <row r="31" spans="1:11">
      <c r="A31" s="2" t="s">
        <v>91</v>
      </c>
      <c r="B31" s="2"/>
      <c r="C31" s="2" t="s">
        <v>86</v>
      </c>
      <c r="D31" s="20">
        <f>D7+D16*D11</f>
        <v>15.868965517241378</v>
      </c>
      <c r="E31" s="20">
        <f>E7+E16*E11</f>
        <v>7.8893821839080438</v>
      </c>
      <c r="F31" s="20">
        <f>F7+F16*F11</f>
        <v>17.191379310344828</v>
      </c>
      <c r="G31" s="20">
        <f>G7+G16*G11</f>
        <v>3.526436781609195</v>
      </c>
    </row>
    <row r="32" spans="1:11">
      <c r="A32" s="19" t="s">
        <v>92</v>
      </c>
      <c r="B32" s="19"/>
      <c r="C32" s="19" t="s">
        <v>93</v>
      </c>
      <c r="D32" s="24">
        <f>SUM(D26:D31)</f>
        <v>21.668965517241379</v>
      </c>
      <c r="E32" s="24">
        <f>SUM(E26:E31)</f>
        <v>11.212715517241378</v>
      </c>
      <c r="F32" s="24">
        <f>SUM(F26:F31)</f>
        <v>23.391379310344828</v>
      </c>
      <c r="G32" s="24">
        <f>SUM(G26:G31)</f>
        <v>5.5831034482758621</v>
      </c>
    </row>
    <row r="33" spans="1:7">
      <c r="A33" s="19" t="s">
        <v>114</v>
      </c>
      <c r="B33" s="19"/>
      <c r="C33" s="2" t="s">
        <v>93</v>
      </c>
      <c r="D33" s="20">
        <f>D32-(9*D5+D9)</f>
        <v>18.068965517241377</v>
      </c>
      <c r="E33" s="20">
        <f>E32-(9*E5+E9)</f>
        <v>10.732715517241378</v>
      </c>
      <c r="F33" s="20">
        <f>F32-(9*F5+F9)</f>
        <v>22.041379310344826</v>
      </c>
      <c r="G33" s="20">
        <f>G32-(9*G5+G9)</f>
        <v>4.883103448275862</v>
      </c>
    </row>
    <row r="34" spans="1:7">
      <c r="A34" s="2"/>
      <c r="B34" s="2"/>
      <c r="C34" s="2"/>
      <c r="D34" s="2"/>
      <c r="E34" s="20"/>
      <c r="F34" s="20"/>
      <c r="G34" s="20"/>
    </row>
    <row r="35" spans="1:7">
      <c r="A35" s="21" t="s">
        <v>94</v>
      </c>
      <c r="B35" s="21"/>
      <c r="C35" s="2"/>
      <c r="D35" s="20">
        <f>D11*D14+(1-D10)</f>
        <v>21.68965517241379</v>
      </c>
      <c r="E35" s="20">
        <f>E11*E14+(1-E10)</f>
        <v>11.222988505747123</v>
      </c>
      <c r="F35" s="20">
        <f>F11*F14+(1-F10)</f>
        <v>23.413793103448278</v>
      </c>
      <c r="G35" s="20">
        <f>G11*G14+(1-G10)</f>
        <v>5.5877011494252873</v>
      </c>
    </row>
    <row r="36" spans="1:7">
      <c r="A36" s="2" t="s">
        <v>95</v>
      </c>
      <c r="B36" s="2"/>
      <c r="C36" s="2" t="s">
        <v>96</v>
      </c>
      <c r="D36" s="20">
        <f t="shared" ref="D36:G37" si="0">D26/D$35</f>
        <v>0.10143084260731319</v>
      </c>
      <c r="E36" s="20">
        <f t="shared" si="0"/>
        <v>0.25156698074559614</v>
      </c>
      <c r="F36" s="20">
        <f t="shared" si="0"/>
        <v>0.13311242022582226</v>
      </c>
      <c r="G36" s="20">
        <f t="shared" si="0"/>
        <v>0.24279513710324399</v>
      </c>
    </row>
    <row r="37" spans="1:7">
      <c r="A37" s="2" t="s">
        <v>97</v>
      </c>
      <c r="B37" s="2"/>
      <c r="C37" s="2" t="s">
        <v>96</v>
      </c>
      <c r="D37" s="20">
        <f t="shared" si="0"/>
        <v>0</v>
      </c>
      <c r="E37" s="20">
        <f t="shared" si="0"/>
        <v>1.7820565342072927E-3</v>
      </c>
      <c r="F37" s="20">
        <f t="shared" si="0"/>
        <v>0</v>
      </c>
      <c r="G37" s="20">
        <f t="shared" si="0"/>
        <v>0</v>
      </c>
    </row>
    <row r="38" spans="1:7">
      <c r="A38" s="2" t="s">
        <v>98</v>
      </c>
      <c r="B38" s="2"/>
      <c r="C38" s="2" t="s">
        <v>96</v>
      </c>
      <c r="D38" s="20">
        <f>0.0128*D11*D14/D35</f>
        <v>1.2209856915739269E-2</v>
      </c>
      <c r="E38" s="20">
        <f>0.0128*E11*E14/E35</f>
        <v>1.1716509627201967E-2</v>
      </c>
      <c r="F38" s="20">
        <f>0.0128*F11*F14/F35</f>
        <v>1.2253313696612667E-2</v>
      </c>
      <c r="G38" s="20">
        <f>0.0128*G11*G14/G35</f>
        <v>1.0532162178841051E-2</v>
      </c>
    </row>
    <row r="39" spans="1:7">
      <c r="A39" s="2" t="s">
        <v>99</v>
      </c>
      <c r="B39" s="2"/>
      <c r="C39" s="2" t="s">
        <v>96</v>
      </c>
      <c r="D39" s="20">
        <f t="shared" ref="D39:E41" si="1">D29/D$35</f>
        <v>0.16597774244833072</v>
      </c>
      <c r="E39" s="20">
        <f t="shared" si="1"/>
        <v>4.2769356820975019E-2</v>
      </c>
      <c r="F39" s="20">
        <f t="shared" ref="F39:G41" si="2">F29/F$35</f>
        <v>5.7658321060382905E-2</v>
      </c>
      <c r="G39" s="20">
        <f t="shared" si="2"/>
        <v>0.12527513216629296</v>
      </c>
    </row>
    <row r="40" spans="1:7">
      <c r="A40" s="2" t="s">
        <v>100</v>
      </c>
      <c r="B40" s="2"/>
      <c r="C40" s="2" t="s">
        <v>96</v>
      </c>
      <c r="D40" s="20">
        <f t="shared" si="1"/>
        <v>0</v>
      </c>
      <c r="E40" s="20">
        <f t="shared" si="1"/>
        <v>0</v>
      </c>
      <c r="F40" s="20">
        <f t="shared" si="2"/>
        <v>7.4030436917034856E-2</v>
      </c>
      <c r="G40" s="20">
        <f t="shared" si="2"/>
        <v>0</v>
      </c>
    </row>
    <row r="41" spans="1:7">
      <c r="A41" s="2" t="s">
        <v>101</v>
      </c>
      <c r="B41" s="2"/>
      <c r="C41" s="2" t="s">
        <v>96</v>
      </c>
      <c r="D41" s="20">
        <f t="shared" si="1"/>
        <v>0.731637519872814</v>
      </c>
      <c r="E41" s="20">
        <f t="shared" si="1"/>
        <v>0.70296625358459652</v>
      </c>
      <c r="F41" s="20">
        <f t="shared" si="2"/>
        <v>0.73424153166421202</v>
      </c>
      <c r="G41" s="20">
        <f t="shared" si="2"/>
        <v>0.63110690556024107</v>
      </c>
    </row>
    <row r="42" spans="1:7">
      <c r="A42" s="19" t="s">
        <v>115</v>
      </c>
      <c r="B42" s="19"/>
      <c r="C42" s="19" t="s">
        <v>96</v>
      </c>
      <c r="D42" s="24">
        <f>SUM(D36:D41)-D38</f>
        <v>0.99904610492845791</v>
      </c>
      <c r="E42" s="24">
        <f>SUM(E36:E41)-E38</f>
        <v>0.99908464768537508</v>
      </c>
      <c r="F42" s="24">
        <f>SUM(F36:F41)-F38</f>
        <v>0.99904270986745203</v>
      </c>
      <c r="G42" s="24">
        <f>SUM(G36:G41)-G38</f>
        <v>0.99917717482977819</v>
      </c>
    </row>
    <row r="43" spans="1:7">
      <c r="A43" s="2"/>
      <c r="B43" s="2"/>
      <c r="C43" s="2"/>
      <c r="D43" s="2"/>
      <c r="E43" s="20"/>
      <c r="F43" s="20"/>
      <c r="G43" s="20"/>
    </row>
    <row r="44" spans="1:7">
      <c r="A44" s="2" t="s">
        <v>102</v>
      </c>
      <c r="B44" s="2"/>
      <c r="C44" s="2" t="s">
        <v>103</v>
      </c>
      <c r="D44" s="20">
        <f>22.41*D4/12</f>
        <v>1.1205000000000001</v>
      </c>
      <c r="E44" s="20">
        <f>22.41*E4/12</f>
        <v>1.437975</v>
      </c>
      <c r="F44" s="20"/>
      <c r="G44" s="20">
        <f>22.41*G4/12</f>
        <v>0.69097500000000001</v>
      </c>
    </row>
    <row r="45" spans="1:7">
      <c r="A45" s="2" t="s">
        <v>104</v>
      </c>
      <c r="B45" s="2"/>
      <c r="C45" s="2" t="s">
        <v>103</v>
      </c>
      <c r="D45" s="20">
        <f>22.41*D8/32</f>
        <v>0</v>
      </c>
      <c r="E45" s="20">
        <f>22.41*E8/32</f>
        <v>7.0031249999999998E-3</v>
      </c>
      <c r="F45" s="20">
        <f>22.41*F8/32</f>
        <v>0</v>
      </c>
      <c r="G45" s="20">
        <f>22.41*G8/32</f>
        <v>0</v>
      </c>
    </row>
    <row r="46" spans="1:7">
      <c r="A46" s="2" t="s">
        <v>105</v>
      </c>
      <c r="B46" s="2"/>
      <c r="C46" s="2" t="s">
        <v>103</v>
      </c>
      <c r="D46" s="20"/>
      <c r="E46" s="20"/>
      <c r="F46" s="20"/>
      <c r="G46" s="20"/>
    </row>
    <row r="47" spans="1:7">
      <c r="A47" s="2" t="s">
        <v>106</v>
      </c>
      <c r="B47" s="2"/>
      <c r="C47" s="2" t="s">
        <v>103</v>
      </c>
      <c r="D47" s="20">
        <f>22.41*(D5/2+D9/18)</f>
        <v>4.4820000000000002</v>
      </c>
      <c r="E47" s="20">
        <f>22.41*(E5/2+E9/18)</f>
        <v>0.59760000000000002</v>
      </c>
      <c r="F47" s="20">
        <f>22.41*(F5/2+F9/18)</f>
        <v>1.68075</v>
      </c>
      <c r="G47" s="20">
        <f>22.41*(G5/2+G9/18)</f>
        <v>0.87150000000000005</v>
      </c>
    </row>
    <row r="48" spans="1:7">
      <c r="A48" s="2" t="s">
        <v>107</v>
      </c>
      <c r="B48" s="2"/>
      <c r="C48" s="2" t="s">
        <v>103</v>
      </c>
      <c r="D48" s="20">
        <f>22.41*(D11-1)*D13/32</f>
        <v>0</v>
      </c>
      <c r="E48" s="20">
        <f>22.41*(E11-1)*E13/32</f>
        <v>0</v>
      </c>
      <c r="F48" s="20">
        <f>22.41*(F11-1)*F13/32</f>
        <v>1.213875</v>
      </c>
      <c r="G48" s="20">
        <f>22.41*(G11-1)*G13/32</f>
        <v>0</v>
      </c>
    </row>
    <row r="49" spans="1:7">
      <c r="A49" s="2" t="s">
        <v>108</v>
      </c>
      <c r="B49" s="2"/>
      <c r="C49" s="2" t="s">
        <v>103</v>
      </c>
      <c r="D49" s="20">
        <f>22.41*D7/28+0.767*D11*D15</f>
        <v>12.257407847800234</v>
      </c>
      <c r="E49" s="20">
        <f>22.41*E7/28+0.767*E11*E15</f>
        <v>6.0941470514127163</v>
      </c>
      <c r="F49" s="20">
        <f>22.41*F7/28+0.767*F11*F15</f>
        <v>13.278858501783592</v>
      </c>
      <c r="G49" s="20">
        <f>22.41*G7/28+0.767*G11*G15</f>
        <v>2.7238684106222752</v>
      </c>
    </row>
    <row r="50" spans="1:7">
      <c r="A50" s="19" t="s">
        <v>113</v>
      </c>
      <c r="B50" s="19"/>
      <c r="C50" s="19" t="s">
        <v>103</v>
      </c>
      <c r="D50" s="24">
        <f>SUM(D44:D49)</f>
        <v>17.859907847800233</v>
      </c>
      <c r="E50" s="24">
        <f>SUM(E44:E49)</f>
        <v>8.1367251764127158</v>
      </c>
      <c r="F50" s="24">
        <f>SUM(F44:F49)</f>
        <v>16.173483501783593</v>
      </c>
      <c r="G50" s="24">
        <f>SUM(G44:G49)</f>
        <v>4.2863434106222753</v>
      </c>
    </row>
    <row r="51" spans="1:7">
      <c r="E51" s="22"/>
      <c r="F51" s="22"/>
      <c r="G51" s="22"/>
    </row>
    <row r="52" spans="1:7">
      <c r="A52" s="2"/>
      <c r="E52" s="22"/>
      <c r="F52" s="22"/>
      <c r="G52" s="22"/>
    </row>
    <row r="53" spans="1:7">
      <c r="A53" s="2" t="s">
        <v>130</v>
      </c>
      <c r="C53" t="s">
        <v>131</v>
      </c>
      <c r="D53">
        <v>1.3</v>
      </c>
      <c r="E53">
        <v>1.3</v>
      </c>
      <c r="F53">
        <v>1.3</v>
      </c>
      <c r="G53">
        <v>1.3</v>
      </c>
    </row>
    <row r="54" spans="1:7">
      <c r="A54" s="2" t="s">
        <v>129</v>
      </c>
      <c r="C54" t="s">
        <v>18</v>
      </c>
      <c r="D54" s="29">
        <f>D21/((D11*D14+1)*D53)</f>
        <v>1269.304145774734</v>
      </c>
      <c r="E54" s="29">
        <f>E21/((E11*E14+1)*E53)</f>
        <v>2098.0512559069789</v>
      </c>
      <c r="F54" s="29">
        <f>F21/((F11*F14+1)*F53)</f>
        <v>1435.3882972697404</v>
      </c>
      <c r="G54" s="29">
        <f>G21/((G11*G14+1)*G53)</f>
        <v>1857.4177065234562</v>
      </c>
    </row>
  </sheetData>
  <sheetProtection sheet="1" objects="1" scenarios="1" selectLockedCells="1"/>
  <mergeCells count="2">
    <mergeCell ref="A1:G1"/>
    <mergeCell ref="D2:G2"/>
  </mergeCells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3073" r:id="rId3">
          <objectPr defaultSize="0" autoPict="0" r:id="rId4">
            <anchor moveWithCells="1" sizeWithCells="1">
              <from>
                <xdr:col>7</xdr:col>
                <xdr:colOff>336550</xdr:colOff>
                <xdr:row>6</xdr:row>
                <xdr:rowOff>63500</xdr:rowOff>
              </from>
              <to>
                <xdr:col>10</xdr:col>
                <xdr:colOff>622300</xdr:colOff>
                <xdr:row>8</xdr:row>
                <xdr:rowOff>184150</xdr:rowOff>
              </to>
            </anchor>
          </objectPr>
        </oleObject>
      </mc:Choice>
      <mc:Fallback>
        <oleObject progId="Equation.DSMT4" shapeId="3073" r:id="rId3"/>
      </mc:Fallback>
    </mc:AlternateContent>
    <mc:AlternateContent xmlns:mc="http://schemas.openxmlformats.org/markup-compatibility/2006">
      <mc:Choice Requires="x14">
        <oleObject progId="Equation.3" shapeId="3074" r:id="rId5">
          <objectPr defaultSize="0" autoPict="0" r:id="rId6">
            <anchor moveWithCells="1" sizeWithCells="1">
              <from>
                <xdr:col>7</xdr:col>
                <xdr:colOff>368300</xdr:colOff>
                <xdr:row>9</xdr:row>
                <xdr:rowOff>50800</xdr:rowOff>
              </from>
              <to>
                <xdr:col>8</xdr:col>
                <xdr:colOff>450850</xdr:colOff>
                <xdr:row>11</xdr:row>
                <xdr:rowOff>114300</xdr:rowOff>
              </to>
            </anchor>
          </objectPr>
        </oleObject>
      </mc:Choice>
      <mc:Fallback>
        <oleObject progId="Equation.3" shapeId="3074" r:id="rId5"/>
      </mc:Fallback>
    </mc:AlternateContent>
    <mc:AlternateContent xmlns:mc="http://schemas.openxmlformats.org/markup-compatibility/2006">
      <mc:Choice Requires="x14">
        <oleObject progId="Equation.DSMT4" shapeId="3075" r:id="rId7">
          <objectPr defaultSize="0" autoPict="0" r:id="rId8">
            <anchor moveWithCells="1" sizeWithCells="1">
              <from>
                <xdr:col>7</xdr:col>
                <xdr:colOff>279400</xdr:colOff>
                <xdr:row>11</xdr:row>
                <xdr:rowOff>139700</xdr:rowOff>
              </from>
              <to>
                <xdr:col>12</xdr:col>
                <xdr:colOff>488950</xdr:colOff>
                <xdr:row>14</xdr:row>
                <xdr:rowOff>114300</xdr:rowOff>
              </to>
            </anchor>
          </objectPr>
        </oleObject>
      </mc:Choice>
      <mc:Fallback>
        <oleObject progId="Equation.DSMT4" shapeId="3075" r:id="rId7"/>
      </mc:Fallback>
    </mc:AlternateContent>
    <mc:AlternateContent xmlns:mc="http://schemas.openxmlformats.org/markup-compatibility/2006">
      <mc:Choice Requires="x14">
        <oleObject progId="Equation.DSMT4" shapeId="3076" r:id="rId9">
          <objectPr defaultSize="0" autoPict="0" r:id="rId10">
            <anchor moveWithCells="1" sizeWithCells="1">
              <from>
                <xdr:col>7</xdr:col>
                <xdr:colOff>228600</xdr:colOff>
                <xdr:row>14</xdr:row>
                <xdr:rowOff>139700</xdr:rowOff>
              </from>
              <to>
                <xdr:col>12</xdr:col>
                <xdr:colOff>495300</xdr:colOff>
                <xdr:row>17</xdr:row>
                <xdr:rowOff>101600</xdr:rowOff>
              </to>
            </anchor>
          </objectPr>
        </oleObject>
      </mc:Choice>
      <mc:Fallback>
        <oleObject progId="Equation.DSMT4" shapeId="3076" r:id="rId9"/>
      </mc:Fallback>
    </mc:AlternateContent>
    <mc:AlternateContent xmlns:mc="http://schemas.openxmlformats.org/markup-compatibility/2006">
      <mc:Choice Requires="x14">
        <oleObject progId="Equation.DSMT4" shapeId="3077" r:id="rId11">
          <objectPr defaultSize="0" autoPict="0" r:id="rId12">
            <anchor moveWithCells="1" sizeWithCells="1">
              <from>
                <xdr:col>7</xdr:col>
                <xdr:colOff>222250</xdr:colOff>
                <xdr:row>17</xdr:row>
                <xdr:rowOff>63500</xdr:rowOff>
              </from>
              <to>
                <xdr:col>10</xdr:col>
                <xdr:colOff>165100</xdr:colOff>
                <xdr:row>20</xdr:row>
                <xdr:rowOff>12700</xdr:rowOff>
              </to>
            </anchor>
          </objectPr>
        </oleObject>
      </mc:Choice>
      <mc:Fallback>
        <oleObject progId="Equation.DSMT4" shapeId="3077" r:id="rId11"/>
      </mc:Fallback>
    </mc:AlternateContent>
    <mc:AlternateContent xmlns:mc="http://schemas.openxmlformats.org/markup-compatibility/2006">
      <mc:Choice Requires="x14">
        <oleObject progId="Equation.DSMT4" shapeId="3078" r:id="rId13">
          <objectPr defaultSize="0" autoPict="0" r:id="rId14">
            <anchor moveWithCells="1" sizeWithCells="1">
              <from>
                <xdr:col>7</xdr:col>
                <xdr:colOff>342900</xdr:colOff>
                <xdr:row>19</xdr:row>
                <xdr:rowOff>127000</xdr:rowOff>
              </from>
              <to>
                <xdr:col>13</xdr:col>
                <xdr:colOff>546100</xdr:colOff>
                <xdr:row>20</xdr:row>
                <xdr:rowOff>152400</xdr:rowOff>
              </to>
            </anchor>
          </objectPr>
        </oleObject>
      </mc:Choice>
      <mc:Fallback>
        <oleObject progId="Equation.DSMT4" shapeId="3078" r:id="rId13"/>
      </mc:Fallback>
    </mc:AlternateContent>
    <mc:AlternateContent xmlns:mc="http://schemas.openxmlformats.org/markup-compatibility/2006">
      <mc:Choice Requires="x14">
        <oleObject progId="Equation.DSMT4" shapeId="3079" r:id="rId15">
          <objectPr defaultSize="0" autoPict="0" r:id="rId16">
            <anchor moveWithCells="1" sizeWithCells="1">
              <from>
                <xdr:col>7</xdr:col>
                <xdr:colOff>184150</xdr:colOff>
                <xdr:row>20</xdr:row>
                <xdr:rowOff>146050</xdr:rowOff>
              </from>
              <to>
                <xdr:col>9</xdr:col>
                <xdr:colOff>469900</xdr:colOff>
                <xdr:row>22</xdr:row>
                <xdr:rowOff>63500</xdr:rowOff>
              </to>
            </anchor>
          </objectPr>
        </oleObject>
      </mc:Choice>
      <mc:Fallback>
        <oleObject progId="Equation.DSMT4" shapeId="3079" r:id="rId15"/>
      </mc:Fallback>
    </mc:AlternateContent>
    <mc:AlternateContent xmlns:mc="http://schemas.openxmlformats.org/markup-compatibility/2006">
      <mc:Choice Requires="x14">
        <oleObject progId="Equation.3" shapeId="3080" r:id="rId17">
          <objectPr defaultSize="0" autoPict="0" r:id="rId18">
            <anchor moveWithCells="1" sizeWithCells="1">
              <from>
                <xdr:col>7</xdr:col>
                <xdr:colOff>165100</xdr:colOff>
                <xdr:row>23</xdr:row>
                <xdr:rowOff>146050</xdr:rowOff>
              </from>
              <to>
                <xdr:col>9</xdr:col>
                <xdr:colOff>368300</xdr:colOff>
                <xdr:row>25</xdr:row>
                <xdr:rowOff>127000</xdr:rowOff>
              </to>
            </anchor>
          </objectPr>
        </oleObject>
      </mc:Choice>
      <mc:Fallback>
        <oleObject progId="Equation.3" shapeId="3080" r:id="rId17"/>
      </mc:Fallback>
    </mc:AlternateContent>
    <mc:AlternateContent xmlns:mc="http://schemas.openxmlformats.org/markup-compatibility/2006">
      <mc:Choice Requires="x14">
        <oleObject progId="Equation.3" shapeId="3081" r:id="rId19">
          <objectPr defaultSize="0" autoPict="0" r:id="rId20">
            <anchor moveWithCells="1" sizeWithCells="1">
              <from>
                <xdr:col>9</xdr:col>
                <xdr:colOff>527050</xdr:colOff>
                <xdr:row>23</xdr:row>
                <xdr:rowOff>165100</xdr:rowOff>
              </from>
              <to>
                <xdr:col>11</xdr:col>
                <xdr:colOff>488950</xdr:colOff>
                <xdr:row>25</xdr:row>
                <xdr:rowOff>177800</xdr:rowOff>
              </to>
            </anchor>
          </objectPr>
        </oleObject>
      </mc:Choice>
      <mc:Fallback>
        <oleObject progId="Equation.3" shapeId="3081" r:id="rId19"/>
      </mc:Fallback>
    </mc:AlternateContent>
    <mc:AlternateContent xmlns:mc="http://schemas.openxmlformats.org/markup-compatibility/2006">
      <mc:Choice Requires="x14">
        <oleObject progId="Equation.3" shapeId="3082" r:id="rId21">
          <objectPr defaultSize="0" autoPict="0" r:id="rId22">
            <anchor moveWithCells="1" sizeWithCells="1">
              <from>
                <xdr:col>7</xdr:col>
                <xdr:colOff>88900</xdr:colOff>
                <xdr:row>26</xdr:row>
                <xdr:rowOff>50800</xdr:rowOff>
              </from>
              <to>
                <xdr:col>9</xdr:col>
                <xdr:colOff>368300</xdr:colOff>
                <xdr:row>28</xdr:row>
                <xdr:rowOff>38100</xdr:rowOff>
              </to>
            </anchor>
          </objectPr>
        </oleObject>
      </mc:Choice>
      <mc:Fallback>
        <oleObject progId="Equation.3" shapeId="3082" r:id="rId21"/>
      </mc:Fallback>
    </mc:AlternateContent>
    <mc:AlternateContent xmlns:mc="http://schemas.openxmlformats.org/markup-compatibility/2006">
      <mc:Choice Requires="x14">
        <oleObject progId="Equation.3" shapeId="3083" r:id="rId23">
          <objectPr defaultSize="0" autoPict="0" r:id="rId24">
            <anchor moveWithCells="1" sizeWithCells="1">
              <from>
                <xdr:col>9</xdr:col>
                <xdr:colOff>558800</xdr:colOff>
                <xdr:row>26</xdr:row>
                <xdr:rowOff>50800</xdr:rowOff>
              </from>
              <to>
                <xdr:col>12</xdr:col>
                <xdr:colOff>0</xdr:colOff>
                <xdr:row>27</xdr:row>
                <xdr:rowOff>114300</xdr:rowOff>
              </to>
            </anchor>
          </objectPr>
        </oleObject>
      </mc:Choice>
      <mc:Fallback>
        <oleObject progId="Equation.3" shapeId="3083" r:id="rId23"/>
      </mc:Fallback>
    </mc:AlternateContent>
    <mc:AlternateContent xmlns:mc="http://schemas.openxmlformats.org/markup-compatibility/2006">
      <mc:Choice Requires="x14">
        <oleObject progId="Equation.DSMT4" shapeId="3084" r:id="rId25">
          <objectPr defaultSize="0" autoPict="0" r:id="rId26">
            <anchor moveWithCells="1" sizeWithCells="1">
              <from>
                <xdr:col>7</xdr:col>
                <xdr:colOff>165100</xdr:colOff>
                <xdr:row>28</xdr:row>
                <xdr:rowOff>88900</xdr:rowOff>
              </from>
              <to>
                <xdr:col>9</xdr:col>
                <xdr:colOff>444500</xdr:colOff>
                <xdr:row>30</xdr:row>
                <xdr:rowOff>25400</xdr:rowOff>
              </to>
            </anchor>
          </objectPr>
        </oleObject>
      </mc:Choice>
      <mc:Fallback>
        <oleObject progId="Equation.DSMT4" shapeId="3084" r:id="rId25"/>
      </mc:Fallback>
    </mc:AlternateContent>
    <mc:AlternateContent xmlns:mc="http://schemas.openxmlformats.org/markup-compatibility/2006">
      <mc:Choice Requires="x14">
        <oleObject progId="Equation.3" shapeId="3085" r:id="rId27">
          <objectPr defaultSize="0" autoPict="0" r:id="rId28">
            <anchor moveWithCells="1" sizeWithCells="1">
              <from>
                <xdr:col>7</xdr:col>
                <xdr:colOff>165100</xdr:colOff>
                <xdr:row>32</xdr:row>
                <xdr:rowOff>107950</xdr:rowOff>
              </from>
              <to>
                <xdr:col>9</xdr:col>
                <xdr:colOff>641350</xdr:colOff>
                <xdr:row>35</xdr:row>
                <xdr:rowOff>184150</xdr:rowOff>
              </to>
            </anchor>
          </objectPr>
        </oleObject>
      </mc:Choice>
      <mc:Fallback>
        <oleObject progId="Equation.3" shapeId="3085" r:id="rId27"/>
      </mc:Fallback>
    </mc:AlternateContent>
    <mc:AlternateContent xmlns:mc="http://schemas.openxmlformats.org/markup-compatibility/2006">
      <mc:Choice Requires="x14">
        <oleObject progId="Equation.3" shapeId="3086" r:id="rId29">
          <objectPr defaultSize="0" autoPict="0" r:id="rId30">
            <anchor moveWithCells="1" sizeWithCells="1">
              <from>
                <xdr:col>9</xdr:col>
                <xdr:colOff>647700</xdr:colOff>
                <xdr:row>33</xdr:row>
                <xdr:rowOff>146050</xdr:rowOff>
              </from>
              <to>
                <xdr:col>12</xdr:col>
                <xdr:colOff>279400</xdr:colOff>
                <xdr:row>36</xdr:row>
                <xdr:rowOff>12700</xdr:rowOff>
              </to>
            </anchor>
          </objectPr>
        </oleObject>
      </mc:Choice>
      <mc:Fallback>
        <oleObject progId="Equation.3" shapeId="3086" r:id="rId29"/>
      </mc:Fallback>
    </mc:AlternateContent>
    <mc:AlternateContent xmlns:mc="http://schemas.openxmlformats.org/markup-compatibility/2006">
      <mc:Choice Requires="x14">
        <oleObject progId="Equation.3" shapeId="3087" r:id="rId31">
          <objectPr defaultSize="0" r:id="rId32">
            <anchor moveWithCells="1" sizeWithCells="1">
              <from>
                <xdr:col>7</xdr:col>
                <xdr:colOff>152400</xdr:colOff>
                <xdr:row>36</xdr:row>
                <xdr:rowOff>69850</xdr:rowOff>
              </from>
              <to>
                <xdr:col>9</xdr:col>
                <xdr:colOff>63500</xdr:colOff>
                <xdr:row>38</xdr:row>
                <xdr:rowOff>114300</xdr:rowOff>
              </to>
            </anchor>
          </objectPr>
        </oleObject>
      </mc:Choice>
      <mc:Fallback>
        <oleObject progId="Equation.3" shapeId="3087" r:id="rId31"/>
      </mc:Fallback>
    </mc:AlternateContent>
    <mc:AlternateContent xmlns:mc="http://schemas.openxmlformats.org/markup-compatibility/2006">
      <mc:Choice Requires="x14">
        <oleObject progId="Equation.3" shapeId="3088" r:id="rId33">
          <objectPr defaultSize="0" autoPict="0" r:id="rId34">
            <anchor moveWithCells="1" sizeWithCells="1">
              <from>
                <xdr:col>9</xdr:col>
                <xdr:colOff>660400</xdr:colOff>
                <xdr:row>36</xdr:row>
                <xdr:rowOff>50800</xdr:rowOff>
              </from>
              <to>
                <xdr:col>12</xdr:col>
                <xdr:colOff>152400</xdr:colOff>
                <xdr:row>38</xdr:row>
                <xdr:rowOff>76200</xdr:rowOff>
              </to>
            </anchor>
          </objectPr>
        </oleObject>
      </mc:Choice>
      <mc:Fallback>
        <oleObject progId="Equation.3" shapeId="3088" r:id="rId33"/>
      </mc:Fallback>
    </mc:AlternateContent>
    <mc:AlternateContent xmlns:mc="http://schemas.openxmlformats.org/markup-compatibility/2006">
      <mc:Choice Requires="x14">
        <oleObject progId="Equation.3" shapeId="3089" r:id="rId35">
          <objectPr defaultSize="0" autoPict="0" r:id="rId36">
            <anchor moveWithCells="1" sizeWithCells="1">
              <from>
                <xdr:col>7</xdr:col>
                <xdr:colOff>146050</xdr:colOff>
                <xdr:row>39</xdr:row>
                <xdr:rowOff>50800</xdr:rowOff>
              </from>
              <to>
                <xdr:col>9</xdr:col>
                <xdr:colOff>450850</xdr:colOff>
                <xdr:row>41</xdr:row>
                <xdr:rowOff>139700</xdr:rowOff>
              </to>
            </anchor>
          </objectPr>
        </oleObject>
      </mc:Choice>
      <mc:Fallback>
        <oleObject progId="Equation.3" shapeId="3089" r:id="rId35"/>
      </mc:Fallback>
    </mc:AlternateContent>
    <mc:AlternateContent xmlns:mc="http://schemas.openxmlformats.org/markup-compatibility/2006">
      <mc:Choice Requires="x14">
        <oleObject progId="Equation.DSMT4" shapeId="3090" r:id="rId37">
          <objectPr defaultSize="0" r:id="rId38">
            <anchor moveWithCells="1" sizeWithCells="1">
              <from>
                <xdr:col>9</xdr:col>
                <xdr:colOff>622300</xdr:colOff>
                <xdr:row>39</xdr:row>
                <xdr:rowOff>38100</xdr:rowOff>
              </from>
              <to>
                <xdr:col>11</xdr:col>
                <xdr:colOff>641350</xdr:colOff>
                <xdr:row>41</xdr:row>
                <xdr:rowOff>146050</xdr:rowOff>
              </to>
            </anchor>
          </objectPr>
        </oleObject>
      </mc:Choice>
      <mc:Fallback>
        <oleObject progId="Equation.DSMT4" shapeId="3090" r:id="rId37"/>
      </mc:Fallback>
    </mc:AlternateContent>
    <mc:AlternateContent xmlns:mc="http://schemas.openxmlformats.org/markup-compatibility/2006">
      <mc:Choice Requires="x14">
        <oleObject progId="Equation.DSMT4" shapeId="3091" r:id="rId39">
          <objectPr defaultSize="0" autoPict="0" r:id="rId40">
            <anchor moveWithCells="1" sizeWithCells="1">
              <from>
                <xdr:col>10</xdr:col>
                <xdr:colOff>222250</xdr:colOff>
                <xdr:row>45</xdr:row>
                <xdr:rowOff>50800</xdr:rowOff>
              </from>
              <to>
                <xdr:col>13</xdr:col>
                <xdr:colOff>254000</xdr:colOff>
                <xdr:row>48</xdr:row>
                <xdr:rowOff>139700</xdr:rowOff>
              </to>
            </anchor>
          </objectPr>
        </oleObject>
      </mc:Choice>
      <mc:Fallback>
        <oleObject progId="Equation.DSMT4" shapeId="3091" r:id="rId3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Terms of Use</vt:lpstr>
      <vt:lpstr>U_value_Glaser_wall</vt:lpstr>
      <vt:lpstr>Materials_Climate</vt:lpstr>
      <vt:lpstr>U_value_tube</vt:lpstr>
      <vt:lpstr>heat exchanger</vt:lpstr>
      <vt:lpstr>combustion</vt:lpstr>
      <vt:lpstr>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Streicher, Wolfgang</dc:creator>
  <cp:lastModifiedBy>Simon Beck</cp:lastModifiedBy>
  <dcterms:created xsi:type="dcterms:W3CDTF">2012-12-03T07:21:04Z</dcterms:created>
  <dcterms:modified xsi:type="dcterms:W3CDTF">2025-07-14T08:28:10Z</dcterms:modified>
</cp:coreProperties>
</file>