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filterPrivacy="1" updateLinks="always" codeName="ThisWorkbook" defaultThemeVersion="124226"/>
  <xr:revisionPtr revIDLastSave="0" documentId="13_ncr:1_{FF44E007-05C1-4E2B-A16C-7F6A1822E272}" xr6:coauthVersionLast="47" xr6:coauthVersionMax="47" xr10:uidLastSave="{00000000-0000-0000-0000-000000000000}"/>
  <bookViews>
    <workbookView xWindow="-38520" yWindow="-15765" windowWidth="38640" windowHeight="21120" activeTab="1" xr2:uid="{00000000-000D-0000-FFFF-FFFF00000000}"/>
  </bookViews>
  <sheets>
    <sheet name="Heat Pump Terms of Use" sheetId="7" r:id="rId1"/>
    <sheet name="Heat_Pump" sheetId="6" r:id="rId2"/>
    <sheet name="CoolProp_Installation" sheetId="3" r:id="rId3"/>
    <sheet name="Sample Calcs" sheetId="1" r:id="rId4"/>
    <sheet name="Water saturation table" sheetId="2" r:id="rId5"/>
    <sheet name="Property Calculator" sheetId="5" r:id="rId6"/>
    <sheet name="Lists" sheetId="4" r:id="rId7"/>
  </sheets>
  <externalReferences>
    <externalReference r:id="rId8"/>
  </externalReferences>
  <definedNames>
    <definedName name="FluidType">Lists!$J$6:$J$7</definedName>
    <definedName name="ParameterList">Lists!$H$6:$H$170</definedName>
    <definedName name="PredefinedMixtures">Lists!$F$6:$F$110</definedName>
    <definedName name="PureFluids">Lists!$D$6:$D$127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8" i="6" l="1"/>
  <c r="AB12" i="6"/>
  <c r="AB11" i="6"/>
  <c r="AB10" i="6"/>
  <c r="AB6" i="6"/>
  <c r="AB5" i="6"/>
  <c r="U18" i="6" a="1"/>
  <c r="U18" i="6" l="1"/>
  <c r="U23" i="6"/>
  <c r="AC12" i="6"/>
  <c r="AC11" i="6"/>
  <c r="AC6" i="6"/>
  <c r="AC5" i="6"/>
  <c r="V7" i="6"/>
  <c r="V6" i="6"/>
  <c r="V4" i="6"/>
  <c r="V3" i="6"/>
  <c r="Z8" i="6"/>
  <c r="V40" i="6"/>
  <c r="U40" i="6"/>
  <c r="V38" i="6"/>
  <c r="U38" i="6"/>
  <c r="Z23" i="6"/>
  <c r="Y33" i="6" s="1"/>
  <c r="E15" i="2"/>
  <c r="F41" i="2"/>
  <c r="G33" i="2"/>
  <c r="E14" i="2"/>
  <c r="F20" i="2"/>
  <c r="E41" i="2"/>
  <c r="H32" i="2"/>
  <c r="D22" i="1"/>
  <c r="AD16" i="6" a="1"/>
  <c r="H34" i="2"/>
  <c r="D18" i="2"/>
  <c r="D12" i="1"/>
  <c r="D38" i="1"/>
  <c r="D25" i="2"/>
  <c r="F29" i="2"/>
  <c r="H38" i="2"/>
  <c r="E25" i="2"/>
  <c r="E43" i="2"/>
  <c r="H30" i="2"/>
  <c r="E35" i="2"/>
  <c r="E16" i="2"/>
  <c r="H19" i="2"/>
  <c r="G35" i="2"/>
  <c r="D8" i="2"/>
  <c r="F17" i="2"/>
  <c r="D41" i="2"/>
  <c r="V25" i="6" a="1"/>
  <c r="D35" i="2"/>
  <c r="G23" i="2"/>
  <c r="D34" i="2"/>
  <c r="H11" i="2"/>
  <c r="Z27" i="6"/>
  <c r="G14" i="2"/>
  <c r="F36" i="2"/>
  <c r="G11" i="2"/>
  <c r="G25" i="2"/>
  <c r="G17" i="2"/>
  <c r="D28" i="2"/>
  <c r="D43" i="2"/>
  <c r="E24" i="2"/>
  <c r="D21" i="1"/>
  <c r="D37" i="1"/>
  <c r="D32" i="2"/>
  <c r="D13" i="1"/>
  <c r="F35" i="2"/>
  <c r="V27" i="6"/>
  <c r="E23" i="2"/>
  <c r="D37" i="2"/>
  <c r="D16" i="1"/>
  <c r="F9" i="2"/>
  <c r="H20" i="2"/>
  <c r="D33" i="2"/>
  <c r="H15" i="2"/>
  <c r="D20" i="1"/>
  <c r="D10" i="2"/>
  <c r="H24" i="2"/>
  <c r="F30" i="2"/>
  <c r="H35" i="2"/>
  <c r="D40" i="2"/>
  <c r="D38" i="2"/>
  <c r="H33" i="2"/>
  <c r="G43" i="2"/>
  <c r="H26" i="2"/>
  <c r="H13" i="2"/>
  <c r="E13" i="2"/>
  <c r="E44" i="2"/>
  <c r="F11" i="2"/>
  <c r="AA25" i="6" a="1"/>
  <c r="H37" i="2"/>
  <c r="F22" i="2"/>
  <c r="F12" i="2"/>
  <c r="F8" i="2"/>
  <c r="D45" i="1"/>
  <c r="F40" i="2"/>
  <c r="E10" i="2"/>
  <c r="D17" i="2"/>
  <c r="G15" i="2"/>
  <c r="H42" i="2"/>
  <c r="H29" i="2"/>
  <c r="H8" i="2"/>
  <c r="H36" i="2"/>
  <c r="F23" i="2"/>
  <c r="E20" i="2"/>
  <c r="G20" i="2"/>
  <c r="E26" i="2"/>
  <c r="G28" i="2"/>
  <c r="H21" i="2"/>
  <c r="G32" i="2"/>
  <c r="F28" i="2"/>
  <c r="G39" i="2"/>
  <c r="E42" i="2"/>
  <c r="AA27" i="6"/>
  <c r="G29" i="2"/>
  <c r="F24" i="2"/>
  <c r="E12" i="2"/>
  <c r="F15" i="2"/>
  <c r="D36" i="2"/>
  <c r="F16" i="2"/>
  <c r="G30" i="2"/>
  <c r="E49" i="6"/>
  <c r="D12" i="2"/>
  <c r="H22" i="2"/>
  <c r="F31" i="2"/>
  <c r="H43" i="2"/>
  <c r="F21" i="2"/>
  <c r="F13" i="2"/>
  <c r="E19" i="2"/>
  <c r="E18" i="2"/>
  <c r="F33" i="2"/>
  <c r="C49" i="6"/>
  <c r="F49" i="6" s="1"/>
  <c r="D27" i="2"/>
  <c r="H41" i="2"/>
  <c r="G22" i="2"/>
  <c r="C45" i="2"/>
  <c r="H31" i="2"/>
  <c r="F10" i="2"/>
  <c r="E29" i="2"/>
  <c r="G16" i="2"/>
  <c r="E17" i="2"/>
  <c r="D14" i="1"/>
  <c r="E30" i="2"/>
  <c r="D45" i="2"/>
  <c r="E22" i="2"/>
  <c r="E39" i="2"/>
  <c r="H12" i="2"/>
  <c r="F43" i="2"/>
  <c r="D22" i="2"/>
  <c r="D8" i="1"/>
  <c r="G37" i="2"/>
  <c r="D21" i="2"/>
  <c r="G40" i="2"/>
  <c r="C2" i="4"/>
  <c r="D39" i="2"/>
  <c r="H39" i="2"/>
  <c r="E34" i="2"/>
  <c r="F44" i="2"/>
  <c r="E11" i="2"/>
  <c r="D9" i="2"/>
  <c r="F37" i="2"/>
  <c r="G45" i="2"/>
  <c r="D39" i="1"/>
  <c r="G38" i="2"/>
  <c r="H9" i="2"/>
  <c r="G49" i="6"/>
  <c r="H44" i="2"/>
  <c r="G31" i="2"/>
  <c r="E8" i="2"/>
  <c r="F25" i="2"/>
  <c r="Z16" i="6" a="1"/>
  <c r="E9" i="2"/>
  <c r="D31" i="1"/>
  <c r="H17" i="2"/>
  <c r="D13" i="2"/>
  <c r="H10" i="2"/>
  <c r="H40" i="2"/>
  <c r="H28" i="2"/>
  <c r="H18" i="2"/>
  <c r="H14" i="2"/>
  <c r="E28" i="2"/>
  <c r="G8" i="2"/>
  <c r="F32" i="2"/>
  <c r="G21" i="2"/>
  <c r="D10" i="1"/>
  <c r="H49" i="6"/>
  <c r="D11" i="2"/>
  <c r="D44" i="2"/>
  <c r="G18" i="2"/>
  <c r="D16" i="2"/>
  <c r="D15" i="2"/>
  <c r="F27" i="2"/>
  <c r="F14" i="2"/>
  <c r="Z17" i="6" a="1"/>
  <c r="D24" i="2"/>
  <c r="E31" i="2"/>
  <c r="D19" i="2"/>
  <c r="H23" i="2"/>
  <c r="G10" i="2"/>
  <c r="D30" i="2"/>
  <c r="D9" i="1"/>
  <c r="H27" i="2"/>
  <c r="F42" i="2"/>
  <c r="G44" i="2"/>
  <c r="D23" i="1"/>
  <c r="G12" i="2"/>
  <c r="G34" i="2"/>
  <c r="D32" i="1"/>
  <c r="G36" i="2"/>
  <c r="E27" i="2"/>
  <c r="D42" i="2"/>
  <c r="D19" i="1"/>
  <c r="F34" i="2"/>
  <c r="AD17" i="6" a="1"/>
  <c r="E18" i="5"/>
  <c r="G27" i="2"/>
  <c r="D15" i="1"/>
  <c r="G24" i="2"/>
  <c r="E40" i="2"/>
  <c r="G9" i="2"/>
  <c r="E32" i="2"/>
  <c r="G42" i="2"/>
  <c r="E21" i="2"/>
  <c r="D26" i="2"/>
  <c r="D35" i="1"/>
  <c r="F38" i="2"/>
  <c r="E38" i="2"/>
  <c r="D14" i="2"/>
  <c r="F19" i="2"/>
  <c r="F18" i="2"/>
  <c r="D31" i="2"/>
  <c r="G26" i="2"/>
  <c r="G41" i="2"/>
  <c r="D46" i="1"/>
  <c r="D29" i="2"/>
  <c r="D11" i="1"/>
  <c r="D20" i="2"/>
  <c r="F26" i="2"/>
  <c r="D23" i="2"/>
  <c r="H25" i="2"/>
  <c r="H16" i="2"/>
  <c r="E37" i="2"/>
  <c r="F39" i="2"/>
  <c r="G19" i="2"/>
  <c r="E33" i="2"/>
  <c r="D44" i="1"/>
  <c r="E36" i="2"/>
  <c r="G13" i="2"/>
  <c r="D36" i="1"/>
  <c r="H45" i="2"/>
  <c r="E45" i="2"/>
  <c r="Z17" i="6" l="1"/>
  <c r="Z16" i="6"/>
  <c r="Z18" i="6" s="1"/>
  <c r="AB18" i="6" s="1"/>
  <c r="AD16" i="6"/>
  <c r="AD17" i="6"/>
  <c r="V25" i="6"/>
  <c r="AA25" i="6"/>
  <c r="U47" i="6"/>
  <c r="Z4" i="6"/>
  <c r="AA23" i="6"/>
  <c r="Z24" i="6"/>
  <c r="C7" i="2"/>
  <c r="E7" i="2"/>
  <c r="H7" i="2"/>
  <c r="F7" i="2"/>
  <c r="AB29" i="6" a="1"/>
  <c r="F45" i="2"/>
  <c r="I49" i="6"/>
  <c r="D7" i="2"/>
  <c r="D40" i="1"/>
  <c r="G7" i="2"/>
  <c r="AB29" i="6" l="1"/>
  <c r="AA24" i="6"/>
  <c r="AB23" i="6"/>
  <c r="AB24" i="6" s="1"/>
  <c r="Z33" i="6"/>
  <c r="Z2" i="6"/>
  <c r="AD18" i="6"/>
  <c r="Y35" i="6"/>
  <c r="V23" i="6"/>
  <c r="U33" i="6"/>
  <c r="U24" i="6"/>
  <c r="D49" i="6"/>
  <c r="B49" i="6"/>
  <c r="C48" i="6" s="1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G48" i="6"/>
  <c r="H48" i="6"/>
  <c r="I48" i="6"/>
  <c r="E48" i="6"/>
  <c r="F48" i="6"/>
  <c r="AB33" i="6" l="1"/>
  <c r="Z49" i="6"/>
  <c r="AD12" i="6" s="1"/>
  <c r="W23" i="6"/>
  <c r="Z3" i="6"/>
  <c r="AA33" i="6"/>
  <c r="U49" i="6" s="1"/>
  <c r="AD6" i="6" s="1"/>
  <c r="V33" i="6"/>
  <c r="V24" i="6"/>
  <c r="C47" i="6"/>
  <c r="E47" i="6"/>
  <c r="H47" i="6"/>
  <c r="F47" i="6"/>
  <c r="G47" i="6"/>
  <c r="I47" i="6"/>
  <c r="Z5" i="6" l="1"/>
  <c r="W24" i="6"/>
  <c r="Z48" i="6"/>
  <c r="AD11" i="6" s="1"/>
  <c r="W33" i="6"/>
  <c r="D47" i="6"/>
  <c r="V34" i="6" l="1"/>
  <c r="V26" i="6"/>
  <c r="U25" i="6"/>
  <c r="U26" i="6" s="1"/>
  <c r="W25" i="6"/>
  <c r="W28" i="6" a="1"/>
  <c r="W27" i="6" a="1"/>
  <c r="W28" i="6" l="1"/>
  <c r="X28" i="6" s="1"/>
  <c r="W27" i="6"/>
  <c r="W35" i="6" s="1"/>
  <c r="V39" i="6" s="1"/>
  <c r="Z35" i="6"/>
  <c r="C46" i="6"/>
  <c r="V35" i="6"/>
  <c r="B45" i="2"/>
  <c r="B40" i="1"/>
  <c r="W34" i="6"/>
  <c r="W26" i="6"/>
  <c r="U34" i="6"/>
  <c r="AB34" i="6" s="1"/>
  <c r="E46" i="6"/>
  <c r="I46" i="6"/>
  <c r="F46" i="6"/>
  <c r="G46" i="6"/>
  <c r="H46" i="6"/>
  <c r="AC27" i="6" l="1"/>
  <c r="C45" i="6"/>
  <c r="AA26" i="6"/>
  <c r="Y25" i="6"/>
  <c r="X34" i="6" s="1"/>
  <c r="AB25" i="6"/>
  <c r="X25" i="6"/>
  <c r="Z34" i="6"/>
  <c r="Z25" i="6"/>
  <c r="Y34" i="6" s="1"/>
  <c r="D46" i="6"/>
  <c r="Z26" i="6"/>
  <c r="E45" i="6"/>
  <c r="I45" i="6"/>
  <c r="H45" i="6"/>
  <c r="AD27" i="6" a="1"/>
  <c r="G45" i="6"/>
  <c r="F45" i="6"/>
  <c r="X27" i="6" a="1"/>
  <c r="X27" i="6" l="1"/>
  <c r="AD27" i="6"/>
  <c r="AB26" i="6"/>
  <c r="Y26" i="6"/>
  <c r="AA34" i="6"/>
  <c r="C44" i="6"/>
  <c r="D45" i="6"/>
  <c r="AB27" i="6"/>
  <c r="AA35" i="6" s="1"/>
  <c r="X26" i="6"/>
  <c r="G44" i="6"/>
  <c r="E44" i="6"/>
  <c r="X24" i="6" a="1"/>
  <c r="F44" i="6"/>
  <c r="H44" i="6"/>
  <c r="I44" i="6"/>
  <c r="U27" i="6" l="1"/>
  <c r="U35" i="6" s="1"/>
  <c r="AB35" i="6" s="1"/>
  <c r="V41" i="6" s="1"/>
  <c r="X24" i="6"/>
  <c r="X23" i="6" s="1"/>
  <c r="C43" i="6"/>
  <c r="Y27" i="6"/>
  <c r="D44" i="6"/>
  <c r="I43" i="6"/>
  <c r="H43" i="6"/>
  <c r="F43" i="6"/>
  <c r="G43" i="6"/>
  <c r="E43" i="6"/>
  <c r="Y24" i="6" a="1"/>
  <c r="U39" i="6" l="1"/>
  <c r="Y24" i="6"/>
  <c r="Y23" i="6" s="1"/>
  <c r="X33" i="6" s="1"/>
  <c r="C42" i="6"/>
  <c r="D43" i="6"/>
  <c r="X35" i="6"/>
  <c r="U41" i="6" s="1"/>
  <c r="Z6" i="6"/>
  <c r="F42" i="6"/>
  <c r="E42" i="6"/>
  <c r="G42" i="6"/>
  <c r="I42" i="6"/>
  <c r="H42" i="6"/>
  <c r="Z7" i="6" l="1"/>
  <c r="Z12" i="6"/>
  <c r="Z10" i="6" s="1"/>
  <c r="Z11" i="6" s="1"/>
  <c r="Z13" i="6" s="1"/>
  <c r="Z15" i="6" s="1"/>
  <c r="C41" i="6"/>
  <c r="D42" i="6"/>
  <c r="AD2" i="6"/>
  <c r="U45" i="6"/>
  <c r="U46" i="6" s="1"/>
  <c r="U48" i="6" s="1"/>
  <c r="AD5" i="6" s="1"/>
  <c r="Z50" i="6"/>
  <c r="U50" i="6"/>
  <c r="U51" i="6" s="1"/>
  <c r="U52" i="6" s="1"/>
  <c r="AD9" i="6" s="1"/>
  <c r="H41" i="6"/>
  <c r="G41" i="6"/>
  <c r="F41" i="6"/>
  <c r="I41" i="6"/>
  <c r="E41" i="6"/>
  <c r="Z9" i="6" l="1"/>
  <c r="Z19" i="6" s="1"/>
  <c r="AB19" i="6" s="1"/>
  <c r="AD19" i="6" s="1"/>
  <c r="D41" i="6"/>
  <c r="C40" i="6"/>
  <c r="AD8" i="6"/>
  <c r="AD7" i="6"/>
  <c r="H40" i="6"/>
  <c r="F40" i="6"/>
  <c r="E40" i="6"/>
  <c r="I40" i="6"/>
  <c r="G40" i="6"/>
  <c r="Z14" i="6" l="1"/>
  <c r="Z51" i="6"/>
  <c r="Z52" i="6" s="1"/>
  <c r="AD14" i="6" s="1"/>
  <c r="C39" i="6"/>
  <c r="D40" i="6"/>
  <c r="H39" i="6"/>
  <c r="I39" i="6"/>
  <c r="G39" i="6"/>
  <c r="F39" i="6"/>
  <c r="E39" i="6"/>
  <c r="AD13" i="6" l="1"/>
  <c r="C38" i="6"/>
  <c r="D39" i="6"/>
  <c r="E38" i="6"/>
  <c r="H38" i="6"/>
  <c r="I38" i="6"/>
  <c r="F38" i="6"/>
  <c r="G38" i="6"/>
  <c r="C37" i="6" l="1"/>
  <c r="D38" i="6"/>
  <c r="G37" i="6"/>
  <c r="H37" i="6"/>
  <c r="I37" i="6"/>
  <c r="E37" i="6"/>
  <c r="F37" i="6"/>
  <c r="C36" i="6" l="1"/>
  <c r="D37" i="6"/>
  <c r="I36" i="6"/>
  <c r="H36" i="6"/>
  <c r="F36" i="6"/>
  <c r="G36" i="6"/>
  <c r="E36" i="6"/>
  <c r="C35" i="6" l="1"/>
  <c r="D36" i="6"/>
  <c r="H35" i="6"/>
  <c r="F35" i="6"/>
  <c r="E35" i="6"/>
  <c r="I35" i="6"/>
  <c r="G35" i="6"/>
  <c r="C34" i="6" l="1"/>
  <c r="D35" i="6"/>
  <c r="I34" i="6"/>
  <c r="H34" i="6"/>
  <c r="E34" i="6"/>
  <c r="F34" i="6"/>
  <c r="G34" i="6"/>
  <c r="C33" i="6" l="1"/>
  <c r="D34" i="6"/>
  <c r="I33" i="6"/>
  <c r="G33" i="6"/>
  <c r="H33" i="6"/>
  <c r="F33" i="6"/>
  <c r="E33" i="6"/>
  <c r="D33" i="6" l="1"/>
  <c r="C32" i="6"/>
  <c r="D32" i="6" s="1"/>
  <c r="I32" i="6"/>
  <c r="G32" i="6"/>
  <c r="H32" i="6"/>
  <c r="F32" i="6"/>
  <c r="E32" i="6"/>
  <c r="C31" i="6" l="1"/>
  <c r="D31" i="6" s="1"/>
  <c r="I31" i="6"/>
  <c r="G31" i="6"/>
  <c r="E31" i="6"/>
  <c r="H31" i="6"/>
  <c r="F31" i="6"/>
  <c r="C30" i="6" l="1"/>
  <c r="I30" i="6"/>
  <c r="G30" i="6"/>
  <c r="H30" i="6"/>
  <c r="F30" i="6"/>
  <c r="E30" i="6"/>
  <c r="C29" i="6" l="1"/>
  <c r="D30" i="6"/>
  <c r="F29" i="6"/>
  <c r="E29" i="6"/>
  <c r="G29" i="6"/>
  <c r="I29" i="6"/>
  <c r="H29" i="6"/>
  <c r="C28" i="6" l="1"/>
  <c r="D29" i="6"/>
  <c r="E28" i="6"/>
  <c r="G28" i="6"/>
  <c r="F28" i="6"/>
  <c r="I28" i="6"/>
  <c r="H28" i="6"/>
  <c r="C27" i="6" l="1"/>
  <c r="D28" i="6"/>
  <c r="G27" i="6"/>
  <c r="I27" i="6"/>
  <c r="H27" i="6"/>
  <c r="F27" i="6"/>
  <c r="E27" i="6"/>
  <c r="C26" i="6" l="1"/>
  <c r="D27" i="6"/>
  <c r="I26" i="6"/>
  <c r="G26" i="6"/>
  <c r="H26" i="6"/>
  <c r="F26" i="6"/>
  <c r="E26" i="6"/>
  <c r="C25" i="6" l="1"/>
  <c r="D26" i="6"/>
  <c r="F25" i="6"/>
  <c r="G25" i="6"/>
  <c r="I25" i="6"/>
  <c r="H25" i="6"/>
  <c r="E25" i="6"/>
  <c r="C24" i="6" l="1"/>
  <c r="D25" i="6"/>
  <c r="I24" i="6"/>
  <c r="F24" i="6"/>
  <c r="G24" i="6"/>
  <c r="E24" i="6"/>
  <c r="H24" i="6"/>
  <c r="D24" i="6" l="1"/>
  <c r="C23" i="6"/>
  <c r="H23" i="6"/>
  <c r="E23" i="6"/>
  <c r="F23" i="6"/>
  <c r="G23" i="6"/>
  <c r="I23" i="6"/>
  <c r="C22" i="6" l="1"/>
  <c r="D23" i="6"/>
  <c r="G22" i="6"/>
  <c r="F22" i="6"/>
  <c r="I22" i="6"/>
  <c r="H22" i="6"/>
  <c r="E22" i="6"/>
  <c r="C21" i="6" l="1"/>
  <c r="D22" i="6"/>
  <c r="F21" i="6"/>
  <c r="G21" i="6"/>
  <c r="I21" i="6"/>
  <c r="E21" i="6"/>
  <c r="H21" i="6"/>
  <c r="C20" i="6" l="1"/>
  <c r="D21" i="6"/>
  <c r="I20" i="6"/>
  <c r="F20" i="6"/>
  <c r="H20" i="6"/>
  <c r="E20" i="6"/>
  <c r="G20" i="6"/>
  <c r="C19" i="6" l="1"/>
  <c r="D20" i="6"/>
  <c r="F19" i="6"/>
  <c r="H19" i="6"/>
  <c r="E19" i="6"/>
  <c r="I19" i="6"/>
  <c r="G19" i="6"/>
  <c r="C18" i="6" l="1"/>
  <c r="D19" i="6"/>
  <c r="H18" i="6"/>
  <c r="G18" i="6"/>
  <c r="F18" i="6"/>
  <c r="I18" i="6"/>
  <c r="E18" i="6"/>
  <c r="C17" i="6" l="1"/>
  <c r="D18" i="6"/>
  <c r="I17" i="6"/>
  <c r="H17" i="6"/>
  <c r="G17" i="6"/>
  <c r="E17" i="6"/>
  <c r="F17" i="6"/>
  <c r="C16" i="6" l="1"/>
  <c r="D17" i="6"/>
  <c r="I16" i="6"/>
  <c r="H16" i="6"/>
  <c r="G16" i="6"/>
  <c r="F16" i="6"/>
  <c r="E16" i="6"/>
  <c r="C15" i="6" l="1"/>
  <c r="D16" i="6"/>
  <c r="F15" i="6"/>
  <c r="H15" i="6"/>
  <c r="I15" i="6"/>
  <c r="E15" i="6"/>
  <c r="G15" i="6"/>
  <c r="D15" i="6" l="1"/>
  <c r="C14" i="6"/>
  <c r="G14" i="6"/>
  <c r="E14" i="6"/>
  <c r="F14" i="6"/>
  <c r="I14" i="6"/>
  <c r="H14" i="6"/>
  <c r="C13" i="6" l="1"/>
  <c r="D14" i="6"/>
  <c r="E13" i="6"/>
  <c r="F13" i="6"/>
  <c r="I13" i="6"/>
  <c r="H13" i="6"/>
  <c r="G13" i="6"/>
  <c r="C12" i="6" l="1"/>
  <c r="D13" i="6"/>
  <c r="H12" i="6"/>
  <c r="F12" i="6"/>
  <c r="I12" i="6"/>
  <c r="E12" i="6"/>
  <c r="G12" i="6"/>
  <c r="C11" i="6" l="1"/>
  <c r="D12" i="6"/>
  <c r="I11" i="6"/>
  <c r="F11" i="6"/>
  <c r="H11" i="6"/>
  <c r="E11" i="6"/>
  <c r="G11" i="6"/>
  <c r="C10" i="6" l="1"/>
  <c r="D11" i="6"/>
  <c r="D48" i="6"/>
  <c r="G10" i="6"/>
  <c r="H10" i="6"/>
  <c r="F10" i="6"/>
  <c r="E10" i="6"/>
  <c r="I10" i="6"/>
  <c r="C9" i="6" l="1"/>
  <c r="D10" i="6"/>
  <c r="H9" i="6"/>
  <c r="F9" i="6"/>
  <c r="I9" i="6"/>
  <c r="G9" i="6"/>
  <c r="E9" i="6"/>
  <c r="D9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D1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This formula will not work if you do not have REFPROP installed.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<sst xmlns="http://schemas.openxmlformats.org/spreadsheetml/2006/main" count="900" uniqueCount="653">
  <si>
    <t>Critical temperature of R410A:</t>
  </si>
  <si>
    <t>K</t>
  </si>
  <si>
    <t>Density of Air at STP:</t>
  </si>
  <si>
    <r>
      <t>kg/m</t>
    </r>
    <r>
      <rPr>
        <sz val="11"/>
        <color theme="1"/>
        <rFont val="Times New Roman"/>
        <family val="1"/>
      </rPr>
      <t>³</t>
    </r>
  </si>
  <si>
    <t>Boiling point of water at 1 atm:</t>
  </si>
  <si>
    <t>Critical density of propane:</t>
  </si>
  <si>
    <t>Saturation Table for water</t>
  </si>
  <si>
    <r>
      <rPr>
        <sz val="11"/>
        <color theme="1"/>
        <rFont val="Times New Roman"/>
        <family val="1"/>
      </rPr>
      <t>°</t>
    </r>
    <r>
      <rPr>
        <sz val="11"/>
        <color theme="1"/>
        <rFont val="Calibri"/>
        <family val="2"/>
      </rPr>
      <t>C</t>
    </r>
  </si>
  <si>
    <t>Density</t>
  </si>
  <si>
    <t>Temperature</t>
  </si>
  <si>
    <t>Sat. Liq.</t>
  </si>
  <si>
    <t>Sat. Vap.</t>
  </si>
  <si>
    <t>Pressure</t>
  </si>
  <si>
    <t>Enthalpy</t>
  </si>
  <si>
    <t>Pa-s</t>
  </si>
  <si>
    <t>Example of an error:</t>
  </si>
  <si>
    <t>COOLPROP</t>
  </si>
  <si>
    <t>Expected value</t>
  </si>
  <si>
    <t>Components</t>
  </si>
  <si>
    <t>Nitrogen</t>
  </si>
  <si>
    <t>Argon</t>
  </si>
  <si>
    <t>Oxygen</t>
  </si>
  <si>
    <t>CO2</t>
  </si>
  <si>
    <t>Dewpoint of dry air at 1 atm:</t>
  </si>
  <si>
    <t>J/kg</t>
  </si>
  <si>
    <t>Function Call</t>
  </si>
  <si>
    <t>Function Usage</t>
  </si>
  <si>
    <t>Units</t>
  </si>
  <si>
    <t>Mixtures</t>
  </si>
  <si>
    <t>=PropsSI("Dmass","T",298.15,"P",101325,"HEOS::Nitrogen")</t>
  </si>
  <si>
    <t>Density of Nitrogen at STP:</t>
  </si>
  <si>
    <t>=PropsSI("Dmass","T",298.15,"P",101325,"HEOS::Air")</t>
  </si>
  <si>
    <t>=PropsSI("T","P",101325,"Q",0,"HEOS::Water")-273.15</t>
  </si>
  <si>
    <t>=PropsSI("T","P",101325,"Q",0,"REFPROP::Water")-273.15</t>
  </si>
  <si>
    <t>=Props1SI("A","B")</t>
  </si>
  <si>
    <t>=PropsSI("V","T",300,"P",101.325,"INCOMP::MEG[0.2]")</t>
  </si>
  <si>
    <t>=PropsSI("T","P",101325,"Q",0,"HEOS::"&amp;MixtureString(A17:A20,B17:B20))</t>
  </si>
  <si>
    <t>mole
fraction</t>
  </si>
  <si>
    <t>kg/m³</t>
  </si>
  <si>
    <t>Density of dry Air at STP:</t>
  </si>
  <si>
    <t>=PropsSI("D","T",273.15,"P",101325,"HEOS::"&amp;MixtureString(A17:A20,B17:B20))</t>
  </si>
  <si>
    <t>Humid Air Properties</t>
  </si>
  <si>
    <t>Dewpoint of dry Air at 1 atm:</t>
  </si>
  <si>
    <t>Dewpoint of air at 1 atm, 50% humidity:</t>
  </si>
  <si>
    <t>Enthalpy of 50% Humid Air at STP:</t>
  </si>
  <si>
    <t>Density of 50% Humid Air at STP:</t>
  </si>
  <si>
    <t>CoolProp</t>
  </si>
  <si>
    <t xml:space="preserve"> Example Calculations</t>
  </si>
  <si>
    <t>Density of Dry Air at STP:</t>
  </si>
  <si>
    <t>* Air Temperature (T) = 20°C</t>
  </si>
  <si>
    <t>=HAPropsSI("D","T",293.15,"P",101325,"R",0)</t>
  </si>
  <si>
    <t>=HAPropsSI("D","T",293.15,"P",101325,"R",0.5)</t>
  </si>
  <si>
    <t>=1/HAPropsSI("Vda","T",273.15,"P",101325,"R",0)</t>
  </si>
  <si>
    <t>=1/HAPropsSI("Vha","T",273.15,"P",101325,"R",0.5)</t>
  </si>
  <si>
    <t>=HAPropsSI("H","T",273.15,"P",101325,"R",0.5)</t>
  </si>
  <si>
    <t>=HAPropsSI("T","H",C31,"P",101325,"R",1)</t>
  </si>
  <si>
    <t>Incompressible Fluid Properties</t>
  </si>
  <si>
    <t>Viscosity of 20% Aqueous Ethylene Glycol:</t>
  </si>
  <si>
    <t>Specifi Heat of Dowtherm Q @ 500 K, 1 atm</t>
  </si>
  <si>
    <t>J/kg-K</t>
  </si>
  <si>
    <t>Density of Seawater @ RT, 3.5% Salinity</t>
  </si>
  <si>
    <t>kg/m°</t>
  </si>
  <si>
    <t>=PropsSI("C","T",500,"P",101325,"INCOMP::DowQ")</t>
  </si>
  <si>
    <t>Installation Instructions</t>
  </si>
  <si>
    <t>b) Download the CoolProp.xlam file and place it in a convenient location</t>
  </si>
  <si>
    <t>c) Install the CoolProp Add-in from the Excel Options menu, Manage Add-ins</t>
  </si>
  <si>
    <t>1) Open Excel</t>
  </si>
  <si>
    <r>
      <t>2) Go to the menu  File</t>
    </r>
    <r>
      <rPr>
        <sz val="11"/>
        <color theme="1"/>
        <rFont val="Calibri"/>
        <family val="2"/>
      </rPr>
      <t>→Options→Add-Ins</t>
    </r>
  </si>
  <si>
    <t>3) At the bottom of the panel, select Manage: Excel Add-ins, then click the Go… button.</t>
  </si>
  <si>
    <t>5) Browse to the file CoolProp.xlam that you copied above in step (b).</t>
  </si>
  <si>
    <t>6) Make sure the CoolProp Add-in is selected (box checked) and close the add-in manager.</t>
  </si>
  <si>
    <t>4) Click the browse button on the Add-in Manager panel.</t>
  </si>
  <si>
    <t>*Alternate CoolProp Location</t>
  </si>
  <si>
    <t>If you need to place the CoolProp DLL files in a location other than on the C: drive, follow these instructions:</t>
  </si>
  <si>
    <t xml:space="preserve">  Installation</t>
  </si>
  <si>
    <t>Phase Determination</t>
  </si>
  <si>
    <t>Water phase @ RT</t>
  </si>
  <si>
    <t>liquid</t>
  </si>
  <si>
    <t>=PhaseSI("T",293.15,"P",101325,"Water")</t>
  </si>
  <si>
    <t>Water phase @ 400 K and 1 atm</t>
  </si>
  <si>
    <t>gas</t>
  </si>
  <si>
    <t>=PhaseSI("T",400,"P",101325,"Water")</t>
  </si>
  <si>
    <t>=PhaseSI("T",400,"P",30e6,"Water")</t>
  </si>
  <si>
    <t>supercritical_liquid</t>
  </si>
  <si>
    <t>supercritical_gas</t>
  </si>
  <si>
    <t>Water phase @ 400 K and 30 MPa</t>
  </si>
  <si>
    <t>Water phase @ 1030 K and 10 MPa</t>
  </si>
  <si>
    <t>Water phase @ 1030 K and 30 MPa</t>
  </si>
  <si>
    <t>supercritical</t>
  </si>
  <si>
    <t>=PhaseSI("T",1030,"P",10e6,"Water")</t>
  </si>
  <si>
    <t>=PhaseSI("T",1030,"P",30e6,"Water")</t>
  </si>
  <si>
    <r>
      <t>[</t>
    </r>
    <r>
      <rPr>
        <i/>
        <sz val="11"/>
        <color theme="1"/>
        <rFont val="Calibri"/>
        <family val="2"/>
        <scheme val="minor"/>
      </rPr>
      <t>current version</t>
    </r>
    <r>
      <rPr>
        <sz val="11"/>
        <color theme="1"/>
        <rFont val="Calibri"/>
        <family val="2"/>
        <scheme val="minor"/>
      </rPr>
      <t>]</t>
    </r>
  </si>
  <si>
    <t>CoolProp DLL version installed:</t>
  </si>
  <si>
    <t>CoolProp Git Revision:</t>
  </si>
  <si>
    <t>=get_global_param_string("gitrevision")</t>
  </si>
  <si>
    <t>=get_global_param_string("version")</t>
  </si>
  <si>
    <t>kPa</t>
  </si>
  <si>
    <t>kJ/kg</t>
  </si>
  <si>
    <t>a) Download the CoolProp.dll and CoolProp_x64.dll files and place them in a folder called C:\CoolProp*</t>
  </si>
  <si>
    <t>d) Open the file TextExcel.xlsx (this file) and try to re-evaluate one of the formula cells on the Sample Calcs tab.  The CoolProp formulas should all be working.</t>
  </si>
  <si>
    <t>a) Download the CoolProp.dll and CollProp_64.dll files and place them in CoolProp directory in a reachable location</t>
  </si>
  <si>
    <t>b) Open CoolProp.xlam</t>
  </si>
  <si>
    <t>c) You will get an Excel error - File not found:  C:\CoolProp\CoolProp.dll</t>
  </si>
  <si>
    <r>
      <t xml:space="preserve">1) In the right hand pane under </t>
    </r>
    <r>
      <rPr>
        <b/>
        <sz val="11"/>
        <color theme="1"/>
        <rFont val="Calibri"/>
        <family val="2"/>
        <scheme val="minor"/>
      </rPr>
      <t>Main Tabs</t>
    </r>
    <r>
      <rPr>
        <sz val="11"/>
        <color theme="1"/>
        <rFont val="Calibri"/>
        <family val="2"/>
        <scheme val="minor"/>
      </rPr>
      <t xml:space="preserve">, make sure that the box in front of </t>
    </r>
    <r>
      <rPr>
        <b/>
        <sz val="11"/>
        <color theme="1"/>
        <rFont val="Calibri"/>
        <family val="2"/>
        <scheme val="minor"/>
      </rPr>
      <t>Developer</t>
    </r>
    <r>
      <rPr>
        <sz val="11"/>
        <color theme="1"/>
        <rFont val="Calibri"/>
        <family val="2"/>
        <scheme val="minor"/>
      </rPr>
      <t xml:space="preserve"> is checked</t>
    </r>
  </si>
  <si>
    <r>
      <t xml:space="preserve">2) Press </t>
    </r>
    <r>
      <rPr>
        <b/>
        <sz val="11"/>
        <color theme="1"/>
        <rFont val="Calibri"/>
        <family val="2"/>
        <scheme val="minor"/>
      </rPr>
      <t>OK</t>
    </r>
  </si>
  <si>
    <r>
      <t xml:space="preserve">f) Under the </t>
    </r>
    <r>
      <rPr>
        <b/>
        <sz val="11"/>
        <color theme="1"/>
        <rFont val="Calibri"/>
        <family val="2"/>
        <scheme val="minor"/>
      </rPr>
      <t>Developer</t>
    </r>
    <r>
      <rPr>
        <sz val="11"/>
        <color theme="1"/>
        <rFont val="Calibri"/>
        <family val="2"/>
        <scheme val="minor"/>
      </rPr>
      <t xml:space="preserve"> menu, select Visual Basic to bring up the visual basic editor</t>
    </r>
  </si>
  <si>
    <r>
      <t xml:space="preserve">Replace With: </t>
    </r>
    <r>
      <rPr>
        <b/>
        <sz val="11"/>
        <color theme="1"/>
        <rFont val="Calibri"/>
        <family val="2"/>
        <scheme val="minor"/>
      </rPr>
      <t>(</t>
    </r>
    <r>
      <rPr>
        <b/>
        <i/>
        <sz val="11"/>
        <color theme="1"/>
        <rFont val="Calibri"/>
        <family val="2"/>
        <scheme val="minor"/>
      </rPr>
      <t>new location</t>
    </r>
    <r>
      <rPr>
        <b/>
        <sz val="11"/>
        <color theme="1"/>
        <rFont val="Calibri"/>
        <family val="2"/>
        <scheme val="minor"/>
      </rPr>
      <t>)</t>
    </r>
  </si>
  <si>
    <r>
      <t xml:space="preserve">Find What: </t>
    </r>
    <r>
      <rPr>
        <b/>
        <sz val="11"/>
        <color theme="1"/>
        <rFont val="Calibri"/>
        <family val="2"/>
        <scheme val="minor"/>
      </rPr>
      <t>C:\CoolProp\CoolProp.dll</t>
    </r>
  </si>
  <si>
    <t>2) Enter the following on the panel</t>
  </si>
  <si>
    <r>
      <t xml:space="preserve">3) Press the </t>
    </r>
    <r>
      <rPr>
        <b/>
        <sz val="11"/>
        <color theme="1"/>
        <rFont val="Calibri"/>
        <family val="2"/>
        <scheme val="minor"/>
      </rPr>
      <t>Replace All</t>
    </r>
    <r>
      <rPr>
        <sz val="11"/>
        <color theme="1"/>
        <rFont val="Calibri"/>
        <family val="2"/>
        <scheme val="minor"/>
      </rPr>
      <t xml:space="preserve"> button</t>
    </r>
  </si>
  <si>
    <r>
      <t xml:space="preserve">4) Repeat for </t>
    </r>
    <r>
      <rPr>
        <b/>
        <sz val="11"/>
        <color theme="1"/>
        <rFont val="Calibri"/>
        <family val="2"/>
        <scheme val="minor"/>
      </rPr>
      <t>C:\CoolProp\CoolProp_64.dll</t>
    </r>
  </si>
  <si>
    <r>
      <t xml:space="preserve">g) Press the Save button (disk image) or </t>
    </r>
    <r>
      <rPr>
        <b/>
        <sz val="11"/>
        <color theme="1"/>
        <rFont val="Calibri"/>
        <family val="2"/>
        <scheme val="minor"/>
      </rPr>
      <t>File | Save</t>
    </r>
  </si>
  <si>
    <r>
      <t xml:space="preserve">h) Press </t>
    </r>
    <r>
      <rPr>
        <b/>
        <sz val="11"/>
        <color theme="1"/>
        <rFont val="Calibri"/>
        <family val="2"/>
        <scheme val="minor"/>
      </rPr>
      <t>File | Close and Return to Excel</t>
    </r>
  </si>
  <si>
    <r>
      <t xml:space="preserve">i) Press </t>
    </r>
    <r>
      <rPr>
        <b/>
        <sz val="11"/>
        <color theme="1"/>
        <rFont val="Calibri"/>
        <family val="2"/>
        <scheme val="minor"/>
      </rPr>
      <t>&lt;Alt&gt;-&lt;Ctrl&gt;-&lt;Shift&gt;-F9</t>
    </r>
    <r>
      <rPr>
        <sz val="11"/>
        <color theme="1"/>
        <rFont val="Calibri"/>
        <family val="2"/>
        <scheme val="minor"/>
      </rPr>
      <t xml:space="preserve"> to recalculate the entire workshee on the</t>
    </r>
    <r>
      <rPr>
        <b/>
        <sz val="11"/>
        <color theme="1"/>
        <rFont val="Calibri"/>
        <family val="2"/>
        <scheme val="minor"/>
      </rPr>
      <t xml:space="preserve"> Sample Calcs</t>
    </r>
    <r>
      <rPr>
        <sz val="11"/>
        <color theme="1"/>
        <rFont val="Calibri"/>
        <family val="2"/>
        <scheme val="minor"/>
      </rPr>
      <t xml:space="preserve"> tab.  All formulas should now be working.</t>
    </r>
  </si>
  <si>
    <r>
      <t xml:space="preserve">d) Clicking </t>
    </r>
    <r>
      <rPr>
        <b/>
        <sz val="11"/>
        <color theme="1"/>
        <rFont val="Calibri"/>
        <family val="2"/>
        <scheme val="minor"/>
      </rPr>
      <t>Ok</t>
    </r>
    <r>
      <rPr>
        <sz val="11"/>
        <color theme="1"/>
        <rFont val="Calibri"/>
        <family val="2"/>
        <scheme val="minor"/>
      </rPr>
      <t xml:space="preserve"> on the error dialog only brings up another.  Try pressing and holding the </t>
    </r>
    <r>
      <rPr>
        <b/>
        <sz val="11"/>
        <color theme="1"/>
        <rFont val="Calibri"/>
        <family val="2"/>
        <scheme val="minor"/>
      </rPr>
      <t>&lt;Enter&gt;</t>
    </r>
    <r>
      <rPr>
        <sz val="11"/>
        <color theme="1"/>
        <rFont val="Calibri"/>
        <family val="2"/>
        <scheme val="minor"/>
      </rPr>
      <t xml:space="preserve"> key until the errors go away</t>
    </r>
  </si>
  <si>
    <r>
      <t xml:space="preserve">e) Go to </t>
    </r>
    <r>
      <rPr>
        <b/>
        <sz val="11"/>
        <color theme="1"/>
        <rFont val="Calibri"/>
        <family val="2"/>
        <scheme val="minor"/>
      </rPr>
      <t>File | Options</t>
    </r>
    <r>
      <rPr>
        <sz val="11"/>
        <color theme="1"/>
        <rFont val="Calibri"/>
        <family val="2"/>
        <scheme val="minor"/>
      </rPr>
      <t xml:space="preserve"> on the main menu and select </t>
    </r>
    <r>
      <rPr>
        <b/>
        <sz val="11"/>
        <color theme="1"/>
        <rFont val="Calibri"/>
        <family val="2"/>
        <scheme val="minor"/>
      </rPr>
      <t>Customize Ribbon</t>
    </r>
    <r>
      <rPr>
        <sz val="11"/>
        <color theme="1"/>
        <rFont val="Calibri"/>
        <family val="2"/>
        <scheme val="minor"/>
      </rPr>
      <t xml:space="preserve"> from the Excel Options panel menu</t>
    </r>
  </si>
  <si>
    <r>
      <t xml:space="preserve">1) Select </t>
    </r>
    <r>
      <rPr>
        <b/>
        <sz val="11"/>
        <color theme="1"/>
        <rFont val="Calibri"/>
        <family val="2"/>
        <scheme val="minor"/>
      </rPr>
      <t>Edit | Replace…</t>
    </r>
    <r>
      <rPr>
        <sz val="11"/>
        <color theme="1"/>
        <rFont val="Calibri"/>
        <family val="2"/>
        <scheme val="minor"/>
      </rPr>
      <t xml:space="preserve">  from the main menu</t>
    </r>
  </si>
  <si>
    <t>1-Butene</t>
  </si>
  <si>
    <t>Acetone</t>
  </si>
  <si>
    <t>Air</t>
  </si>
  <si>
    <t>Ammonia</t>
  </si>
  <si>
    <t>Benzene</t>
  </si>
  <si>
    <t>CarbonDioxide</t>
  </si>
  <si>
    <t>CarbonMonoxide</t>
  </si>
  <si>
    <t>CarbonylSulfide</t>
  </si>
  <si>
    <t>cis-2-Butene</t>
  </si>
  <si>
    <t>CycloHexane</t>
  </si>
  <si>
    <t>Cyclopentane</t>
  </si>
  <si>
    <t>CycloPropane</t>
  </si>
  <si>
    <t>D4</t>
  </si>
  <si>
    <t>D5</t>
  </si>
  <si>
    <t>D6</t>
  </si>
  <si>
    <t>Deuterium</t>
  </si>
  <si>
    <t>Dichloroethane</t>
  </si>
  <si>
    <t>DiethylEther</t>
  </si>
  <si>
    <t>DimethylCarbonate</t>
  </si>
  <si>
    <t>DimethylEther</t>
  </si>
  <si>
    <t>Ethane</t>
  </si>
  <si>
    <t>Ethanol</t>
  </si>
  <si>
    <t>EthylBenzene</t>
  </si>
  <si>
    <t>Ethylene</t>
  </si>
  <si>
    <t>EthyleneOxide</t>
  </si>
  <si>
    <t>Fluorine</t>
  </si>
  <si>
    <t>HeavyWater</t>
  </si>
  <si>
    <t>Helium</t>
  </si>
  <si>
    <t>HFE143m</t>
  </si>
  <si>
    <t>Hydrogen</t>
  </si>
  <si>
    <t>HydrogenChloride</t>
  </si>
  <si>
    <t>HydrogenSulfide</t>
  </si>
  <si>
    <t>IsoButane</t>
  </si>
  <si>
    <t>IsoButene</t>
  </si>
  <si>
    <t>Isohexane</t>
  </si>
  <si>
    <t>Isopentane</t>
  </si>
  <si>
    <t>Krypton</t>
  </si>
  <si>
    <t>m-Xylene</t>
  </si>
  <si>
    <t>MD2M</t>
  </si>
  <si>
    <t>MD3M</t>
  </si>
  <si>
    <t>MD4M</t>
  </si>
  <si>
    <t>MDM</t>
  </si>
  <si>
    <t>Methane</t>
  </si>
  <si>
    <t>Methanol</t>
  </si>
  <si>
    <t>MethylLinoleate</t>
  </si>
  <si>
    <t>MethylLinolenate</t>
  </si>
  <si>
    <t>MethylOleate</t>
  </si>
  <si>
    <t>MethylPalmitate</t>
  </si>
  <si>
    <t>MethylStearate</t>
  </si>
  <si>
    <t>MM</t>
  </si>
  <si>
    <t>n-Butane</t>
  </si>
  <si>
    <t>n-Decane</t>
  </si>
  <si>
    <t>n-Dodecane</t>
  </si>
  <si>
    <t>n-Heptane</t>
  </si>
  <si>
    <t>n-Hexane</t>
  </si>
  <si>
    <t>n-Nonane</t>
  </si>
  <si>
    <t>n-Octane</t>
  </si>
  <si>
    <t>n-Pentane</t>
  </si>
  <si>
    <t>n-Propane</t>
  </si>
  <si>
    <t>n-Undecane</t>
  </si>
  <si>
    <t>Neon</t>
  </si>
  <si>
    <t>Neopentane</t>
  </si>
  <si>
    <t>NitrousOxide</t>
  </si>
  <si>
    <t>Novec649</t>
  </si>
  <si>
    <t>o-Xylene</t>
  </si>
  <si>
    <t>OrthoDeuterium</t>
  </si>
  <si>
    <t>OrthoHydrogen</t>
  </si>
  <si>
    <t>p-Xylene</t>
  </si>
  <si>
    <t>ParaDeuterium</t>
  </si>
  <si>
    <t>ParaHydrogen</t>
  </si>
  <si>
    <t>Propylene</t>
  </si>
  <si>
    <t>Propyne</t>
  </si>
  <si>
    <t>R11</t>
  </si>
  <si>
    <t>R113</t>
  </si>
  <si>
    <t>R114</t>
  </si>
  <si>
    <t>R115</t>
  </si>
  <si>
    <t>R116</t>
  </si>
  <si>
    <t>R12</t>
  </si>
  <si>
    <t>R123</t>
  </si>
  <si>
    <t>R1233zd(E)</t>
  </si>
  <si>
    <t>R1234yf</t>
  </si>
  <si>
    <t>R1234ze(E)</t>
  </si>
  <si>
    <t>R1234ze(Z)</t>
  </si>
  <si>
    <t>R124</t>
  </si>
  <si>
    <t>R125</t>
  </si>
  <si>
    <t>R13</t>
  </si>
  <si>
    <t>R134a</t>
  </si>
  <si>
    <t>R13I1</t>
  </si>
  <si>
    <t>R14</t>
  </si>
  <si>
    <t>R141b</t>
  </si>
  <si>
    <t>R142b</t>
  </si>
  <si>
    <t>R143a</t>
  </si>
  <si>
    <t>R152A</t>
  </si>
  <si>
    <t>R161</t>
  </si>
  <si>
    <t>R21</t>
  </si>
  <si>
    <t>R218</t>
  </si>
  <si>
    <t>R22</t>
  </si>
  <si>
    <t>R227EA</t>
  </si>
  <si>
    <t>R23</t>
  </si>
  <si>
    <t>R236EA</t>
  </si>
  <si>
    <t>R236FA</t>
  </si>
  <si>
    <t>R245ca</t>
  </si>
  <si>
    <t>R245fa</t>
  </si>
  <si>
    <t>R32</t>
  </si>
  <si>
    <t>R365MFC</t>
  </si>
  <si>
    <t>R40</t>
  </si>
  <si>
    <t>R404A</t>
  </si>
  <si>
    <t>R407C</t>
  </si>
  <si>
    <t>R41</t>
  </si>
  <si>
    <t>R410A</t>
  </si>
  <si>
    <t>R507A</t>
  </si>
  <si>
    <t>RC318</t>
  </si>
  <si>
    <t>SES36</t>
  </si>
  <si>
    <t>SulfurDioxide</t>
  </si>
  <si>
    <t>SulfurHexafluoride</t>
  </si>
  <si>
    <t>Toluene</t>
  </si>
  <si>
    <t>trans-2-Butene</t>
  </si>
  <si>
    <t>Water</t>
  </si>
  <si>
    <t>Xenon</t>
  </si>
  <si>
    <t>get_global_param_string("FluidsList") ==&gt;</t>
  </si>
  <si>
    <t>Copy C2 and paste result as value here ==&gt;</t>
  </si>
  <si>
    <t>This makes a list we can use in a dropdown.</t>
  </si>
  <si>
    <t>A</t>
  </si>
  <si>
    <t>ACENTRIC</t>
  </si>
  <si>
    <t>ALPHA0</t>
  </si>
  <si>
    <t>ALPHAR</t>
  </si>
  <si>
    <t>BVIRIAL</t>
  </si>
  <si>
    <t>Bvirial</t>
  </si>
  <si>
    <t>C</t>
  </si>
  <si>
    <t>CONDUCTIVITY</t>
  </si>
  <si>
    <t>CP0MASS</t>
  </si>
  <si>
    <t>CP0MOLAR</t>
  </si>
  <si>
    <t>CPMASS</t>
  </si>
  <si>
    <t>CPMOLAR</t>
  </si>
  <si>
    <t>CVIRIAL</t>
  </si>
  <si>
    <t>CVMASS</t>
  </si>
  <si>
    <t>CVMOLAR</t>
  </si>
  <si>
    <t>Cp0mass</t>
  </si>
  <si>
    <t>Cp0molar</t>
  </si>
  <si>
    <t>Cpmass</t>
  </si>
  <si>
    <t>Cpmolar</t>
  </si>
  <si>
    <t>Cvirial</t>
  </si>
  <si>
    <t>Cvmass</t>
  </si>
  <si>
    <t>Cvmolar</t>
  </si>
  <si>
    <t>D</t>
  </si>
  <si>
    <t>DALPHA0_DDELTA_CONSTTAU</t>
  </si>
  <si>
    <t>DALPHA0_DTAU_CONSTDELTA</t>
  </si>
  <si>
    <t>DALPHAR_DDELTA_CONSTTAU</t>
  </si>
  <si>
    <t>DALPHAR_DTAU_CONSTDELTA</t>
  </si>
  <si>
    <t>DBVIRIAL_DT</t>
  </si>
  <si>
    <t>DCVIRIAL_DT</t>
  </si>
  <si>
    <t>DELTA</t>
  </si>
  <si>
    <t>DIPOLE_MOMENT</t>
  </si>
  <si>
    <t>DMASS</t>
  </si>
  <si>
    <t>DMOLAR</t>
  </si>
  <si>
    <t>Delta</t>
  </si>
  <si>
    <t>Dmass</t>
  </si>
  <si>
    <t>Dmolar</t>
  </si>
  <si>
    <t>FH</t>
  </si>
  <si>
    <t>FRACTION_MAX</t>
  </si>
  <si>
    <t>FRACTION_MIN</t>
  </si>
  <si>
    <t>FUNDAMENTAL_DERIVATIVE_OF_GAS_DYNAMICS</t>
  </si>
  <si>
    <t>G</t>
  </si>
  <si>
    <t>GAS_CONSTANT</t>
  </si>
  <si>
    <t>GMASS</t>
  </si>
  <si>
    <t>GMOLAR</t>
  </si>
  <si>
    <t>GWP100</t>
  </si>
  <si>
    <t>GWP20</t>
  </si>
  <si>
    <t>GWP500</t>
  </si>
  <si>
    <t>Gmass</t>
  </si>
  <si>
    <t>Gmolar</t>
  </si>
  <si>
    <t>H</t>
  </si>
  <si>
    <t>HH</t>
  </si>
  <si>
    <t>HMASS</t>
  </si>
  <si>
    <t>HMOLAR</t>
  </si>
  <si>
    <t>Hmass</t>
  </si>
  <si>
    <t>Hmolar</t>
  </si>
  <si>
    <t>I</t>
  </si>
  <si>
    <t>ISOBARIC_EXPANSION_COEFFICIENT</t>
  </si>
  <si>
    <t>ISOTHERMAL_COMPRESSIBILITY</t>
  </si>
  <si>
    <t>L</t>
  </si>
  <si>
    <t>M</t>
  </si>
  <si>
    <t>MOLARMASS</t>
  </si>
  <si>
    <t>MOLAR_MASS</t>
  </si>
  <si>
    <t>MOLEMASS</t>
  </si>
  <si>
    <t>O</t>
  </si>
  <si>
    <t>ODP</t>
  </si>
  <si>
    <t>P</t>
  </si>
  <si>
    <t>PCRIT</t>
  </si>
  <si>
    <t>PH</t>
  </si>
  <si>
    <t>PHASE</t>
  </si>
  <si>
    <t>PIP</t>
  </si>
  <si>
    <t>PMAX</t>
  </si>
  <si>
    <t>PMIN</t>
  </si>
  <si>
    <t>PRANDTL</t>
  </si>
  <si>
    <t>PTRIPLE</t>
  </si>
  <si>
    <t>P_CRITICAL</t>
  </si>
  <si>
    <t>P_MAX</t>
  </si>
  <si>
    <t>P_MIN</t>
  </si>
  <si>
    <t>P_REDUCING</t>
  </si>
  <si>
    <t>P_TRIPLE</t>
  </si>
  <si>
    <t>P_max</t>
  </si>
  <si>
    <t>P_min</t>
  </si>
  <si>
    <t>Pcrit</t>
  </si>
  <si>
    <t>Phase</t>
  </si>
  <si>
    <t>Prandtl</t>
  </si>
  <si>
    <t>Q</t>
  </si>
  <si>
    <t>RHOCRIT</t>
  </si>
  <si>
    <t>RHOMASS_CRITICAL</t>
  </si>
  <si>
    <t>RHOMASS_REDUCING</t>
  </si>
  <si>
    <t>RHOMOLAR_CRITICAL</t>
  </si>
  <si>
    <t>RHOMOLAR_REDUCING</t>
  </si>
  <si>
    <t>S</t>
  </si>
  <si>
    <t>SMASS</t>
  </si>
  <si>
    <t>SMOLAR</t>
  </si>
  <si>
    <t>SMOLAR_RESIDUAL</t>
  </si>
  <si>
    <t>SPEED_OF_SOUND</t>
  </si>
  <si>
    <t>SURFACE_TENSION</t>
  </si>
  <si>
    <t>Smass</t>
  </si>
  <si>
    <t>Smolar</t>
  </si>
  <si>
    <t>Smolar_residual</t>
  </si>
  <si>
    <t>T</t>
  </si>
  <si>
    <t>TAU</t>
  </si>
  <si>
    <t>TCRIT</t>
  </si>
  <si>
    <t>TMAX</t>
  </si>
  <si>
    <t>TMIN</t>
  </si>
  <si>
    <t>TTRIPLE</t>
  </si>
  <si>
    <t>T_CRITICAL</t>
  </si>
  <si>
    <t>T_FREEZE</t>
  </si>
  <si>
    <t>T_MAX</t>
  </si>
  <si>
    <t>T_MIN</t>
  </si>
  <si>
    <t>T_REDUCING</t>
  </si>
  <si>
    <t>T_TRIPLE</t>
  </si>
  <si>
    <t>T_critical</t>
  </si>
  <si>
    <t>T_freeze</t>
  </si>
  <si>
    <t>T_max</t>
  </si>
  <si>
    <t>T_min</t>
  </si>
  <si>
    <t>T_reducing</t>
  </si>
  <si>
    <t>T_triple</t>
  </si>
  <si>
    <t>Tau</t>
  </si>
  <si>
    <t>Tcrit</t>
  </si>
  <si>
    <t>Tmax</t>
  </si>
  <si>
    <t>Tmin</t>
  </si>
  <si>
    <t>Ttriple</t>
  </si>
  <si>
    <t>U</t>
  </si>
  <si>
    <t>UMASS</t>
  </si>
  <si>
    <t>UMOLAR</t>
  </si>
  <si>
    <t>Umass</t>
  </si>
  <si>
    <t>Umolar</t>
  </si>
  <si>
    <t>V</t>
  </si>
  <si>
    <t>VISCOSITY</t>
  </si>
  <si>
    <t>Z</t>
  </si>
  <si>
    <t>acentric</t>
  </si>
  <si>
    <t>alpha0</t>
  </si>
  <si>
    <t>alphar</t>
  </si>
  <si>
    <t>conductivity</t>
  </si>
  <si>
    <t>dBvirial_dT</t>
  </si>
  <si>
    <t>dCvirial_dT</t>
  </si>
  <si>
    <t>dalpha0_ddelta_consttau</t>
  </si>
  <si>
    <t>dalpha0_dtau_constdelta</t>
  </si>
  <si>
    <t>dalphar_ddelta_consttau</t>
  </si>
  <si>
    <t>dalphar_dtau_constdelta</t>
  </si>
  <si>
    <t>dipole_moment</t>
  </si>
  <si>
    <t>fraction_max</t>
  </si>
  <si>
    <t>fraction_min</t>
  </si>
  <si>
    <t>fundamental_derivative_of_gas_dynamics</t>
  </si>
  <si>
    <t>gas_constant</t>
  </si>
  <si>
    <t>isobaric_expansion_coefficient</t>
  </si>
  <si>
    <t>isothermal_compressibility</t>
  </si>
  <si>
    <t>molar_mass</t>
  </si>
  <si>
    <t>molarmass</t>
  </si>
  <si>
    <t>molemass</t>
  </si>
  <si>
    <t>p_critical</t>
  </si>
  <si>
    <t>p_reducing</t>
  </si>
  <si>
    <t>p_triple</t>
  </si>
  <si>
    <t>pcrit</t>
  </si>
  <si>
    <t>pmax</t>
  </si>
  <si>
    <t>pmin</t>
  </si>
  <si>
    <t>ptriple</t>
  </si>
  <si>
    <t>rhocrit</t>
  </si>
  <si>
    <t>rhomass_critical</t>
  </si>
  <si>
    <t>rhomass_reducing</t>
  </si>
  <si>
    <t>rhomolar_critical</t>
  </si>
  <si>
    <t>rhomolar_reducing</t>
  </si>
  <si>
    <t>speed_of_sound</t>
  </si>
  <si>
    <t>surface_tension</t>
  </si>
  <si>
    <t>viscosity</t>
  </si>
  <si>
    <t>ParameterList</t>
  </si>
  <si>
    <t>Fluid</t>
  </si>
  <si>
    <t>Fluid Type</t>
  </si>
  <si>
    <t>Air.mix</t>
  </si>
  <si>
    <t>Amarillo.mix</t>
  </si>
  <si>
    <t>Ekofisk.mix</t>
  </si>
  <si>
    <t>GulfCoast.mix</t>
  </si>
  <si>
    <t>GulfCoastGas(NIST1).mix</t>
  </si>
  <si>
    <t>HighCO2.mix</t>
  </si>
  <si>
    <t>HighN2.mix</t>
  </si>
  <si>
    <t>NaturalGasSample.mix</t>
  </si>
  <si>
    <t>R401A.mix</t>
  </si>
  <si>
    <t>R401B.mix</t>
  </si>
  <si>
    <t>R401C.mix</t>
  </si>
  <si>
    <t>R402A.mix</t>
  </si>
  <si>
    <t>R402B.mix</t>
  </si>
  <si>
    <t>R403A.mix</t>
  </si>
  <si>
    <t>R403B.mix</t>
  </si>
  <si>
    <t>R404A.mix</t>
  </si>
  <si>
    <t>R405A.mix</t>
  </si>
  <si>
    <t>R406A.mix</t>
  </si>
  <si>
    <t>R407A.mix</t>
  </si>
  <si>
    <t>R407B.mix</t>
  </si>
  <si>
    <t>R407C.mix</t>
  </si>
  <si>
    <t>R407D.mix</t>
  </si>
  <si>
    <t>R407E.mix</t>
  </si>
  <si>
    <t>R407F.mix</t>
  </si>
  <si>
    <t>R408A.mix</t>
  </si>
  <si>
    <t>R409A.mix</t>
  </si>
  <si>
    <t>R409B.mix</t>
  </si>
  <si>
    <t>R410A.mix</t>
  </si>
  <si>
    <t>R410B.mix</t>
  </si>
  <si>
    <t>R411A.mix</t>
  </si>
  <si>
    <t>R411B.mix</t>
  </si>
  <si>
    <t>R412A.mix</t>
  </si>
  <si>
    <t>R413A.mix</t>
  </si>
  <si>
    <t>R414A.mix</t>
  </si>
  <si>
    <t>R414B.mix</t>
  </si>
  <si>
    <t>R415A.mix</t>
  </si>
  <si>
    <t>R415B.mix</t>
  </si>
  <si>
    <t>R416A.mix</t>
  </si>
  <si>
    <t>R417A.mix</t>
  </si>
  <si>
    <t>R417B.mix</t>
  </si>
  <si>
    <t>R417C.mix</t>
  </si>
  <si>
    <t>R418A.mix</t>
  </si>
  <si>
    <t>R419A.mix</t>
  </si>
  <si>
    <t>R419B.mix</t>
  </si>
  <si>
    <t>R420A.mix</t>
  </si>
  <si>
    <t>R421A.mix</t>
  </si>
  <si>
    <t>R421B.mix</t>
  </si>
  <si>
    <t>R422A.mix</t>
  </si>
  <si>
    <t>R422B.mix</t>
  </si>
  <si>
    <t>R422C.mix</t>
  </si>
  <si>
    <t>R422D.mix</t>
  </si>
  <si>
    <t>R422E.mix</t>
  </si>
  <si>
    <t>R423A.mix</t>
  </si>
  <si>
    <t>R424A.mix</t>
  </si>
  <si>
    <t>R425A.mix</t>
  </si>
  <si>
    <t>R426A.mix</t>
  </si>
  <si>
    <t>R427A.mix</t>
  </si>
  <si>
    <t>R428A.mix</t>
  </si>
  <si>
    <t>R429A.mix</t>
  </si>
  <si>
    <t>R430A.mix</t>
  </si>
  <si>
    <t>R431A.mix</t>
  </si>
  <si>
    <t>R432A.mix</t>
  </si>
  <si>
    <t>R433A.mix</t>
  </si>
  <si>
    <t>R433B.mix</t>
  </si>
  <si>
    <t>R433C.mix</t>
  </si>
  <si>
    <t>R434A.mix</t>
  </si>
  <si>
    <t>R435A.mix</t>
  </si>
  <si>
    <t>R436A.mix</t>
  </si>
  <si>
    <t>R436B.mix</t>
  </si>
  <si>
    <t>R437A.mix</t>
  </si>
  <si>
    <t>R438A.mix</t>
  </si>
  <si>
    <t>R439A.mix</t>
  </si>
  <si>
    <t>R440A.mix</t>
  </si>
  <si>
    <t>R441A.mix</t>
  </si>
  <si>
    <t>R442A.mix</t>
  </si>
  <si>
    <t>R443A.mix</t>
  </si>
  <si>
    <t>R444A.mix</t>
  </si>
  <si>
    <t>R444B.mix</t>
  </si>
  <si>
    <t>R445A.mix</t>
  </si>
  <si>
    <t>R446A.mix</t>
  </si>
  <si>
    <t>R447A.mix</t>
  </si>
  <si>
    <t>R448A.mix</t>
  </si>
  <si>
    <t>R449A.mix</t>
  </si>
  <si>
    <t>R449B.mix</t>
  </si>
  <si>
    <t>R450A.mix</t>
  </si>
  <si>
    <t>R451A.mix</t>
  </si>
  <si>
    <t>R451B.mix</t>
  </si>
  <si>
    <t>R452A.mix</t>
  </si>
  <si>
    <t>R453A.mix</t>
  </si>
  <si>
    <t>R454A.mix</t>
  </si>
  <si>
    <t>R454B.mix</t>
  </si>
  <si>
    <t>R500.mix</t>
  </si>
  <si>
    <t>R501.mix</t>
  </si>
  <si>
    <t>R502.mix</t>
  </si>
  <si>
    <t>R503.mix</t>
  </si>
  <si>
    <t>R504.mix</t>
  </si>
  <si>
    <t>R507A.mix</t>
  </si>
  <si>
    <t>R508A.mix</t>
  </si>
  <si>
    <t>R508B.mix</t>
  </si>
  <si>
    <t>R509A.mix</t>
  </si>
  <si>
    <t>R510A.mix</t>
  </si>
  <si>
    <t>R511A.mix</t>
  </si>
  <si>
    <t>R512A.mix</t>
  </si>
  <si>
    <t>R513A.mix</t>
  </si>
  <si>
    <t>TypicalNaturalGas.mix</t>
  </si>
  <si>
    <t>PredefinedMixtures</t>
  </si>
  <si>
    <t>Select C3 and convert text to columns.</t>
  </si>
  <si>
    <t>PureFluids</t>
  </si>
  <si>
    <t>FluidType</t>
  </si>
  <si>
    <r>
      <t>Copy C3:</t>
    </r>
    <r>
      <rPr>
        <b/>
        <i/>
        <sz val="11"/>
        <color rgb="FF0070C0"/>
        <rFont val="Calibri"/>
        <family val="2"/>
        <scheme val="minor"/>
      </rPr>
      <t>n</t>
    </r>
    <r>
      <rPr>
        <sz val="11"/>
        <color rgb="FF0070C0"/>
        <rFont val="Calibri"/>
        <family val="2"/>
        <scheme val="minor"/>
      </rPr>
      <t>3 and paste here Transposed ==&gt;</t>
    </r>
  </si>
  <si>
    <t>Output Name</t>
  </si>
  <si>
    <t>Input Name 1</t>
  </si>
  <si>
    <t>Input Value 1</t>
  </si>
  <si>
    <t>Input Name 2</t>
  </si>
  <si>
    <t>Result</t>
  </si>
  <si>
    <t>Property Calculator</t>
  </si>
  <si>
    <t>The same procedure can be used to extract</t>
  </si>
  <si>
    <t>the PredefinedMixtures list and the</t>
  </si>
  <si>
    <t>ParameterList.</t>
  </si>
  <si>
    <t>=Props1SI("R410A";"Tcrit")</t>
  </si>
  <si>
    <t>=Props1SI("Propane";"rhocrit")</t>
  </si>
  <si>
    <t xml:space="preserve">Saturation Table for </t>
  </si>
  <si>
    <t>°C</t>
  </si>
  <si>
    <t>Temperat.</t>
  </si>
  <si>
    <t>kW</t>
  </si>
  <si>
    <t>p</t>
  </si>
  <si>
    <t>h</t>
  </si>
  <si>
    <t xml:space="preserve">T </t>
  </si>
  <si>
    <t>cp</t>
  </si>
  <si>
    <t>Pa</t>
  </si>
  <si>
    <t>J/kgK</t>
  </si>
  <si>
    <t>Mdot KM</t>
  </si>
  <si>
    <t>-</t>
  </si>
  <si>
    <t>kg/s</t>
  </si>
  <si>
    <t>kg/h</t>
  </si>
  <si>
    <t>m³/h</t>
  </si>
  <si>
    <t>Qel kompr</t>
  </si>
  <si>
    <t>J/kg,k</t>
  </si>
  <si>
    <t>COP h-el</t>
  </si>
  <si>
    <t>cp*dt</t>
  </si>
  <si>
    <t>h=f(T,P)</t>
  </si>
  <si>
    <t>bar</t>
  </si>
  <si>
    <t>until krit.</t>
  </si>
  <si>
    <t>density</t>
  </si>
  <si>
    <t>Sat. liquid</t>
  </si>
  <si>
    <t>Sat. vapor</t>
  </si>
  <si>
    <t>Sat. liquid.</t>
  </si>
  <si>
    <t>Sat. Vapor</t>
  </si>
  <si>
    <t>Material Heat Sink</t>
  </si>
  <si>
    <t>Material Heat Source</t>
  </si>
  <si>
    <t>Power Cond</t>
  </si>
  <si>
    <t>Key Figures</t>
  </si>
  <si>
    <t>T_condensation</t>
  </si>
  <si>
    <t>T_evaporation</t>
  </si>
  <si>
    <t>COP c_Refr</t>
  </si>
  <si>
    <t>COP h_Refr</t>
  </si>
  <si>
    <t>COPch Refr,E-K</t>
  </si>
  <si>
    <t>Qdot evaporator</t>
  </si>
  <si>
    <t>Qdot condenser</t>
  </si>
  <si>
    <t>COP c_el</t>
  </si>
  <si>
    <t>cp_Sink</t>
  </si>
  <si>
    <t>cp_Source</t>
  </si>
  <si>
    <t>T-Compr_out</t>
  </si>
  <si>
    <t xml:space="preserve">Condenser </t>
  </si>
  <si>
    <t>Evaporator</t>
  </si>
  <si>
    <t>Condenser</t>
  </si>
  <si>
    <t>Qdot desuperheat</t>
  </si>
  <si>
    <t>Delta T Si-Refr_a</t>
  </si>
  <si>
    <t>Qdot Subcooling</t>
  </si>
  <si>
    <t>Tsink condensation</t>
  </si>
  <si>
    <t xml:space="preserve">Delta Tsink cond </t>
  </si>
  <si>
    <t>Qdot Evaporation</t>
  </si>
  <si>
    <t>Tsource_Evap_ee</t>
  </si>
  <si>
    <t>Delta T source_Evapor.</t>
  </si>
  <si>
    <t>Grafic</t>
  </si>
  <si>
    <t>Source</t>
  </si>
  <si>
    <t>Sink</t>
  </si>
  <si>
    <t>in</t>
  </si>
  <si>
    <t xml:space="preserve">out </t>
  </si>
  <si>
    <t xml:space="preserve">rho_Sink </t>
  </si>
  <si>
    <t>rho_Source</t>
  </si>
  <si>
    <t>Ev._in</t>
  </si>
  <si>
    <t>Ev.Tevap</t>
  </si>
  <si>
    <t>Ev._out</t>
  </si>
  <si>
    <t>Compr_o_is</t>
  </si>
  <si>
    <t>cond_Tcond.</t>
  </si>
  <si>
    <t>cond_in</t>
  </si>
  <si>
    <t>Cond_out</t>
  </si>
  <si>
    <t>Evap_in</t>
  </si>
  <si>
    <t>Cond_in</t>
  </si>
  <si>
    <t>Cond_liq</t>
  </si>
  <si>
    <t>Cond_vap</t>
  </si>
  <si>
    <t>Refrigerant Cycle</t>
  </si>
  <si>
    <t>Qdot compr.</t>
  </si>
  <si>
    <t>COP h_el/COPc SoiSio</t>
  </si>
  <si>
    <t>COPcarnot,h So_i-Si_o</t>
  </si>
  <si>
    <t>INPUT Heat Pump Cycle</t>
  </si>
  <si>
    <t>Delta T So-Ref_a</t>
  </si>
  <si>
    <t>Delta T So_1-Ref._e</t>
  </si>
  <si>
    <t>Evap_out</t>
  </si>
  <si>
    <t>4a</t>
  </si>
  <si>
    <t>Point</t>
  </si>
  <si>
    <t>Automatic Installation</t>
  </si>
  <si>
    <t>Download CoolProp Windows installer from</t>
  </si>
  <si>
    <t xml:space="preserve"> https://sourceforge.net/projects/coolprop/files/CoolProp/6.8.0/Installers/Windows/</t>
  </si>
  <si>
    <t>Download files eperately</t>
  </si>
  <si>
    <t>Wolfgang Streicher</t>
  </si>
  <si>
    <t>wolfgang.streicher@uibk.ac.at</t>
  </si>
  <si>
    <t xml:space="preserve">Inputs: Only  </t>
  </si>
  <si>
    <t>FREEWARE: but please cite when it is used</t>
  </si>
  <si>
    <t xml:space="preserve">It is NOT allowed to sell this software commercially </t>
  </si>
  <si>
    <t xml:space="preserve">There is NO liabilty for the use, calculation and the results </t>
  </si>
  <si>
    <t>There is no support team behind the tools, please ask only in very urgent situations</t>
  </si>
  <si>
    <t xml:space="preserve">Cool Prop must be installed (see work sheet CoolProp_Installation) </t>
  </si>
  <si>
    <t>yellow fields</t>
  </si>
  <si>
    <t xml:space="preserve">Terms of Use Heat_Pump Sheet </t>
  </si>
  <si>
    <t>(c) University of Innsbruck, Unit of Energy Efficient Building</t>
  </si>
  <si>
    <t xml:space="preserve">Please be sure, that data is harmonized, e.g. negative dTlog will be shown </t>
  </si>
  <si>
    <t>dT 5 - sink_out</t>
  </si>
  <si>
    <t>dT cond_subcool 6-7</t>
  </si>
  <si>
    <t>eta_is compressor</t>
  </si>
  <si>
    <t>eta_el compressor</t>
  </si>
  <si>
    <t>dT source_in -3</t>
  </si>
  <si>
    <t>dT cvap_superh. 3-2</t>
  </si>
  <si>
    <t>T sink_out</t>
  </si>
  <si>
    <t>T sink In</t>
  </si>
  <si>
    <t>T source_in</t>
  </si>
  <si>
    <t>T source_out</t>
  </si>
  <si>
    <t>Mdot_Sink</t>
  </si>
  <si>
    <t>Mdot_Source</t>
  </si>
  <si>
    <t>dtlog condensation</t>
  </si>
  <si>
    <t>dtlog subcooling</t>
  </si>
  <si>
    <t>dtLog evaporation</t>
  </si>
  <si>
    <t>dTlog superheating</t>
  </si>
  <si>
    <t>dtLog desuperheating</t>
  </si>
  <si>
    <t>GWP</t>
  </si>
  <si>
    <t>an let it run. You may have to tell Excel, where CoolProp.xlam is installed.</t>
  </si>
  <si>
    <t>Pinch points</t>
  </si>
  <si>
    <t>Delta T Pinch</t>
  </si>
  <si>
    <t>Pinch point</t>
  </si>
  <si>
    <t xml:space="preserve">Trefr pinch </t>
  </si>
  <si>
    <t>Tsink, pinch</t>
  </si>
  <si>
    <t>When you use the coolprop.exe installer, the xlam-File can be found at "C:\Users\%USERPROFILE%\AppData\Roaming\Microsoft\AddIns"</t>
  </si>
  <si>
    <t>In some cases it can be necessary to restart Excel during this process.</t>
  </si>
  <si>
    <t>Technikerstrasse 13, A-6020 Innsbruck, Austria</t>
  </si>
  <si>
    <t>If you use plots make sure that the citation of the University of Innsbruck is readable or attached to the graph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</si>
</sst>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000"/>
    <numFmt numFmtId="165" formatCode="#,##0.0000"/>
    <numFmt numFmtId="166" formatCode="0.000"/>
    <numFmt numFmtId="167" formatCode="0.0"/>
    <numFmt numFmtId="168" formatCode="0.000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1"/>
      <color rgb="FFC00000"/>
      <name val="Calibri"/>
      <family val="2"/>
      <scheme val="minor"/>
    </font>
    <font>
      <sz val="48"/>
      <color theme="1"/>
      <name val="Calibri"/>
      <family val="2"/>
      <scheme val="minor"/>
    </font>
    <font>
      <sz val="14"/>
      <color theme="1"/>
      <name val="Copperplate Gothic Bold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0"/>
      <color theme="1"/>
      <name val="Arial Unicode MS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B0F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</fills>
  <borders count="3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theme="0"/>
      </right>
      <top/>
      <bottom/>
      <diagonal/>
    </border>
    <border>
      <left/>
      <right/>
      <top/>
      <bottom style="thick">
        <color theme="0"/>
      </bottom>
      <diagonal/>
    </border>
    <border>
      <left/>
      <right style="thick">
        <color theme="1"/>
      </right>
      <top/>
      <bottom/>
      <diagonal/>
    </border>
    <border>
      <left/>
      <right/>
      <top style="thick">
        <color indexed="64"/>
      </top>
      <bottom style="thick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 style="thick">
        <color theme="0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theme="0"/>
      </left>
      <right style="thick">
        <color indexed="64"/>
      </right>
      <top/>
      <bottom/>
      <diagonal/>
    </border>
    <border>
      <left style="thick">
        <color theme="1"/>
      </left>
      <right style="thick">
        <color theme="0"/>
      </right>
      <top/>
      <bottom style="thick">
        <color theme="0"/>
      </bottom>
      <diagonal/>
    </border>
    <border>
      <left/>
      <right/>
      <top style="thick">
        <color theme="0"/>
      </top>
      <bottom style="thick">
        <color theme="1"/>
      </bottom>
      <diagonal/>
    </border>
    <border>
      <left style="thick">
        <color theme="1"/>
      </left>
      <right style="thick">
        <color theme="0"/>
      </right>
      <top style="thick">
        <color theme="1"/>
      </top>
      <bottom/>
      <diagonal/>
    </border>
    <border>
      <left style="thick">
        <color theme="1"/>
      </left>
      <right style="thick">
        <color theme="0"/>
      </right>
      <top style="thick">
        <color theme="1"/>
      </top>
      <bottom style="thick">
        <color theme="0"/>
      </bottom>
      <diagonal/>
    </border>
    <border>
      <left style="thick">
        <color theme="1"/>
      </left>
      <right style="thick">
        <color theme="0"/>
      </right>
      <top style="thin">
        <color theme="1"/>
      </top>
      <bottom style="thick">
        <color theme="0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ck">
        <color indexed="64"/>
      </right>
      <top/>
      <bottom/>
      <diagonal/>
    </border>
    <border>
      <left style="thin">
        <color theme="0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 style="thick">
        <color theme="0"/>
      </top>
      <bottom style="thin">
        <color theme="0"/>
      </bottom>
      <diagonal/>
    </border>
    <border>
      <left style="thick">
        <color theme="0"/>
      </left>
      <right/>
      <top style="thick">
        <color theme="0"/>
      </top>
      <bottom style="thin">
        <color indexed="64"/>
      </bottom>
      <diagonal/>
    </border>
    <border>
      <left/>
      <right/>
      <top style="thick">
        <color theme="0"/>
      </top>
      <bottom style="thin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0" fillId="2" borderId="0" xfId="0" applyFill="1"/>
    <xf numFmtId="1" fontId="0" fillId="0" borderId="0" xfId="0" applyNumberFormat="1"/>
    <xf numFmtId="2" fontId="0" fillId="0" borderId="0" xfId="0" applyNumberFormat="1" applyAlignment="1">
      <alignment horizontal="center"/>
    </xf>
    <xf numFmtId="164" fontId="0" fillId="4" borderId="0" xfId="0" applyNumberFormat="1" applyFill="1"/>
    <xf numFmtId="164" fontId="0" fillId="5" borderId="0" xfId="0" applyNumberFormat="1" applyFill="1"/>
    <xf numFmtId="164" fontId="0" fillId="6" borderId="0" xfId="0" applyNumberFormat="1" applyFill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9" xfId="0" applyFill="1" applyBorder="1"/>
    <xf numFmtId="0" fontId="0" fillId="2" borderId="10" xfId="0" applyFill="1" applyBorder="1"/>
    <xf numFmtId="164" fontId="0" fillId="4" borderId="9" xfId="0" applyNumberFormat="1" applyFill="1" applyBorder="1"/>
    <xf numFmtId="0" fontId="0" fillId="0" borderId="10" xfId="0" applyBorder="1"/>
    <xf numFmtId="0" fontId="0" fillId="2" borderId="11" xfId="0" applyFill="1" applyBorder="1"/>
    <xf numFmtId="0" fontId="2" fillId="2" borderId="12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0" fillId="0" borderId="13" xfId="0" applyBorder="1"/>
    <xf numFmtId="0" fontId="0" fillId="3" borderId="13" xfId="0" applyFill="1" applyBorder="1" applyAlignment="1">
      <alignment horizontal="center"/>
    </xf>
    <xf numFmtId="0" fontId="0" fillId="0" borderId="13" xfId="0" applyBorder="1" applyAlignment="1">
      <alignment horizontal="right"/>
    </xf>
    <xf numFmtId="0" fontId="2" fillId="3" borderId="13" xfId="0" applyFont="1" applyFill="1" applyBorder="1" applyAlignment="1">
      <alignment horizontal="center"/>
    </xf>
    <xf numFmtId="0" fontId="0" fillId="0" borderId="13" xfId="0" applyBorder="1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0" fillId="3" borderId="13" xfId="0" applyFill="1" applyBorder="1" applyAlignment="1">
      <alignment horizontal="right"/>
    </xf>
    <xf numFmtId="0" fontId="6" fillId="0" borderId="13" xfId="0" quotePrefix="1" applyFont="1" applyBorder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 wrapText="1"/>
    </xf>
    <xf numFmtId="0" fontId="7" fillId="0" borderId="13" xfId="0" applyFont="1" applyBorder="1" applyAlignment="1">
      <alignment horizontal="left"/>
    </xf>
    <xf numFmtId="0" fontId="4" fillId="0" borderId="0" xfId="0" applyFont="1"/>
    <xf numFmtId="0" fontId="10" fillId="0" borderId="14" xfId="0" applyFont="1" applyBorder="1" applyAlignment="1">
      <alignment vertical="top"/>
    </xf>
    <xf numFmtId="0" fontId="5" fillId="0" borderId="0" xfId="0" applyFont="1"/>
    <xf numFmtId="0" fontId="9" fillId="0" borderId="0" xfId="0" applyFont="1"/>
    <xf numFmtId="0" fontId="0" fillId="0" borderId="13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2" borderId="15" xfId="0" applyFill="1" applyBorder="1"/>
    <xf numFmtId="0" fontId="17" fillId="0" borderId="0" xfId="0" applyFont="1"/>
    <xf numFmtId="0" fontId="6" fillId="0" borderId="0" xfId="0" quotePrefix="1" applyFont="1"/>
    <xf numFmtId="0" fontId="6" fillId="0" borderId="0" xfId="0" applyFont="1"/>
    <xf numFmtId="0" fontId="0" fillId="7" borderId="0" xfId="0" applyFill="1"/>
    <xf numFmtId="0" fontId="14" fillId="7" borderId="0" xfId="0" applyFont="1" applyFill="1" applyAlignment="1">
      <alignment horizontal="right"/>
    </xf>
    <xf numFmtId="0" fontId="15" fillId="7" borderId="0" xfId="0" applyFont="1" applyFill="1" applyAlignment="1">
      <alignment horizontal="right"/>
    </xf>
    <xf numFmtId="0" fontId="0" fillId="8" borderId="0" xfId="0" applyFill="1"/>
    <xf numFmtId="0" fontId="0" fillId="7" borderId="6" xfId="0" applyFill="1" applyBorder="1"/>
    <xf numFmtId="0" fontId="0" fillId="7" borderId="16" xfId="0" applyFill="1" applyBorder="1"/>
    <xf numFmtId="0" fontId="0" fillId="7" borderId="7" xfId="0" applyFill="1" applyBorder="1"/>
    <xf numFmtId="0" fontId="0" fillId="7" borderId="15" xfId="0" applyFill="1" applyBorder="1"/>
    <xf numFmtId="0" fontId="0" fillId="7" borderId="17" xfId="0" applyFill="1" applyBorder="1"/>
    <xf numFmtId="0" fontId="0" fillId="7" borderId="19" xfId="0" applyFill="1" applyBorder="1"/>
    <xf numFmtId="0" fontId="0" fillId="7" borderId="11" xfId="0" applyFill="1" applyBorder="1"/>
    <xf numFmtId="0" fontId="0" fillId="8" borderId="10" xfId="0" applyFill="1" applyBorder="1"/>
    <xf numFmtId="0" fontId="0" fillId="8" borderId="9" xfId="0" applyFill="1" applyBorder="1"/>
    <xf numFmtId="0" fontId="0" fillId="9" borderId="21" xfId="0" applyFill="1" applyBorder="1" applyProtection="1">
      <protection locked="0"/>
    </xf>
    <xf numFmtId="0" fontId="0" fillId="9" borderId="20" xfId="0" applyFill="1" applyBorder="1" applyProtection="1">
      <protection locked="0"/>
    </xf>
    <xf numFmtId="0" fontId="0" fillId="9" borderId="22" xfId="0" applyFill="1" applyBorder="1" applyProtection="1">
      <protection locked="0"/>
    </xf>
    <xf numFmtId="165" fontId="16" fillId="4" borderId="18" xfId="0" applyNumberFormat="1" applyFont="1" applyFill="1" applyBorder="1"/>
    <xf numFmtId="0" fontId="0" fillId="7" borderId="24" xfId="0" applyFill="1" applyBorder="1"/>
    <xf numFmtId="0" fontId="0" fillId="7" borderId="27" xfId="0" applyFill="1" applyBorder="1"/>
    <xf numFmtId="0" fontId="20" fillId="0" borderId="0" xfId="0" applyFont="1" applyAlignment="1">
      <alignment vertical="center"/>
    </xf>
    <xf numFmtId="0" fontId="5" fillId="2" borderId="3" xfId="0" applyFont="1" applyFill="1" applyBorder="1"/>
    <xf numFmtId="166" fontId="0" fillId="5" borderId="0" xfId="0" applyNumberFormat="1" applyFill="1"/>
    <xf numFmtId="166" fontId="0" fillId="6" borderId="0" xfId="0" applyNumberFormat="1" applyFill="1"/>
    <xf numFmtId="166" fontId="0" fillId="4" borderId="0" xfId="0" applyNumberFormat="1" applyFill="1"/>
    <xf numFmtId="166" fontId="0" fillId="4" borderId="9" xfId="0" applyNumberFormat="1" applyFill="1" applyBorder="1"/>
    <xf numFmtId="0" fontId="4" fillId="2" borderId="2" xfId="0" applyFont="1" applyFill="1" applyBorder="1" applyAlignment="1">
      <alignment horizontal="center" wrapText="1"/>
    </xf>
    <xf numFmtId="0" fontId="0" fillId="11" borderId="0" xfId="0" applyFill="1"/>
    <xf numFmtId="167" fontId="0" fillId="11" borderId="0" xfId="0" applyNumberFormat="1" applyFill="1"/>
    <xf numFmtId="1" fontId="0" fillId="11" borderId="0" xfId="0" applyNumberFormat="1" applyFill="1"/>
    <xf numFmtId="0" fontId="0" fillId="12" borderId="0" xfId="0" applyFill="1"/>
    <xf numFmtId="167" fontId="0" fillId="12" borderId="0" xfId="0" applyNumberFormat="1" applyFill="1"/>
    <xf numFmtId="1" fontId="0" fillId="12" borderId="0" xfId="0" applyNumberFormat="1" applyFill="1"/>
    <xf numFmtId="0" fontId="0" fillId="11" borderId="0" xfId="0" applyFill="1" applyAlignment="1">
      <alignment horizontal="right"/>
    </xf>
    <xf numFmtId="0" fontId="0" fillId="12" borderId="0" xfId="0" applyFill="1" applyAlignment="1">
      <alignment horizontal="right"/>
    </xf>
    <xf numFmtId="0" fontId="0" fillId="13" borderId="0" xfId="0" applyFill="1"/>
    <xf numFmtId="0" fontId="0" fillId="13" borderId="0" xfId="0" quotePrefix="1" applyFill="1" applyAlignment="1">
      <alignment horizontal="right"/>
    </xf>
    <xf numFmtId="0" fontId="0" fillId="13" borderId="0" xfId="0" applyFill="1" applyAlignment="1">
      <alignment horizontal="right"/>
    </xf>
    <xf numFmtId="0" fontId="5" fillId="13" borderId="0" xfId="0" applyFont="1" applyFill="1"/>
    <xf numFmtId="0" fontId="4" fillId="13" borderId="0" xfId="0" applyFont="1" applyFill="1" applyAlignment="1">
      <alignment horizontal="right"/>
    </xf>
    <xf numFmtId="0" fontId="4" fillId="13" borderId="0" xfId="0" applyFont="1" applyFill="1"/>
    <xf numFmtId="0" fontId="0" fillId="14" borderId="0" xfId="0" applyFill="1"/>
    <xf numFmtId="0" fontId="5" fillId="12" borderId="0" xfId="0" applyFont="1" applyFill="1"/>
    <xf numFmtId="0" fontId="4" fillId="14" borderId="0" xfId="0" applyFont="1" applyFill="1"/>
    <xf numFmtId="0" fontId="4" fillId="14" borderId="0" xfId="0" applyFont="1" applyFill="1" applyAlignment="1">
      <alignment horizontal="right"/>
    </xf>
    <xf numFmtId="0" fontId="4" fillId="14" borderId="0" xfId="0" quotePrefix="1" applyFont="1" applyFill="1" applyAlignment="1">
      <alignment horizontal="right"/>
    </xf>
    <xf numFmtId="1" fontId="0" fillId="14" borderId="0" xfId="0" applyNumberFormat="1" applyFill="1"/>
    <xf numFmtId="0" fontId="5" fillId="2" borderId="0" xfId="0" applyFont="1" applyFill="1" applyAlignment="1">
      <alignment horizontal="right"/>
    </xf>
    <xf numFmtId="0" fontId="5" fillId="2" borderId="0" xfId="0" applyFont="1" applyFill="1"/>
    <xf numFmtId="0" fontId="5" fillId="2" borderId="6" xfId="0" applyFont="1" applyFill="1" applyBorder="1"/>
    <xf numFmtId="167" fontId="0" fillId="4" borderId="0" xfId="0" applyNumberFormat="1" applyFill="1"/>
    <xf numFmtId="2" fontId="4" fillId="4" borderId="0" xfId="0" applyNumberFormat="1" applyFont="1" applyFill="1"/>
    <xf numFmtId="2" fontId="0" fillId="4" borderId="0" xfId="0" applyNumberFormat="1" applyFill="1"/>
    <xf numFmtId="167" fontId="4" fillId="4" borderId="0" xfId="0" applyNumberFormat="1" applyFont="1" applyFill="1"/>
    <xf numFmtId="0" fontId="0" fillId="4" borderId="0" xfId="0" applyFill="1"/>
    <xf numFmtId="1" fontId="0" fillId="4" borderId="0" xfId="0" applyNumberFormat="1" applyFill="1"/>
    <xf numFmtId="0" fontId="5" fillId="11" borderId="0" xfId="0" applyFont="1" applyFill="1"/>
    <xf numFmtId="168" fontId="0" fillId="4" borderId="0" xfId="0" applyNumberFormat="1" applyFill="1"/>
    <xf numFmtId="168" fontId="0" fillId="13" borderId="0" xfId="0" applyNumberFormat="1" applyFill="1" applyAlignment="1">
      <alignment horizontal="right"/>
    </xf>
    <xf numFmtId="0" fontId="21" fillId="13" borderId="0" xfId="0" applyFont="1" applyFill="1"/>
    <xf numFmtId="0" fontId="23" fillId="13" borderId="0" xfId="0" quotePrefix="1" applyFont="1" applyFill="1" applyAlignment="1">
      <alignment horizontal="right"/>
    </xf>
    <xf numFmtId="2" fontId="21" fillId="4" borderId="0" xfId="0" applyNumberFormat="1" applyFont="1" applyFill="1"/>
    <xf numFmtId="0" fontId="4" fillId="11" borderId="0" xfId="0" applyFont="1" applyFill="1"/>
    <xf numFmtId="2" fontId="0" fillId="11" borderId="0" xfId="0" applyNumberFormat="1" applyFill="1"/>
    <xf numFmtId="0" fontId="21" fillId="11" borderId="0" xfId="0" applyFont="1" applyFill="1"/>
    <xf numFmtId="0" fontId="21" fillId="11" borderId="0" xfId="0" applyFont="1" applyFill="1" applyAlignment="1">
      <alignment horizontal="right"/>
    </xf>
    <xf numFmtId="2" fontId="21" fillId="11" borderId="0" xfId="0" applyNumberFormat="1" applyFont="1" applyFill="1"/>
    <xf numFmtId="167" fontId="21" fillId="11" borderId="0" xfId="0" applyNumberFormat="1" applyFont="1" applyFill="1"/>
    <xf numFmtId="0" fontId="24" fillId="13" borderId="0" xfId="0" applyFont="1" applyFill="1"/>
    <xf numFmtId="0" fontId="26" fillId="13" borderId="0" xfId="0" applyFont="1" applyFill="1"/>
    <xf numFmtId="0" fontId="27" fillId="13" borderId="0" xfId="0" quotePrefix="1" applyFont="1" applyFill="1" applyAlignment="1">
      <alignment horizontal="right"/>
    </xf>
    <xf numFmtId="2" fontId="26" fillId="4" borderId="0" xfId="0" applyNumberFormat="1" applyFont="1" applyFill="1"/>
    <xf numFmtId="0" fontId="25" fillId="13" borderId="0" xfId="0" applyFont="1" applyFill="1"/>
    <xf numFmtId="0" fontId="25" fillId="13" borderId="0" xfId="0" quotePrefix="1" applyFont="1" applyFill="1" applyAlignment="1">
      <alignment horizontal="right"/>
    </xf>
    <xf numFmtId="2" fontId="25" fillId="4" borderId="0" xfId="0" applyNumberFormat="1" applyFont="1" applyFill="1"/>
    <xf numFmtId="0" fontId="0" fillId="12" borderId="0" xfId="0" applyFill="1" applyAlignment="1">
      <alignment horizontal="center"/>
    </xf>
    <xf numFmtId="0" fontId="0" fillId="11" borderId="0" xfId="0" applyFill="1" applyAlignment="1">
      <alignment horizontal="center"/>
    </xf>
    <xf numFmtId="0" fontId="0" fillId="6" borderId="0" xfId="0" applyFill="1"/>
    <xf numFmtId="0" fontId="0" fillId="6" borderId="0" xfId="0" applyFill="1" applyAlignment="1">
      <alignment horizontal="right"/>
    </xf>
    <xf numFmtId="167" fontId="0" fillId="6" borderId="0" xfId="0" applyNumberFormat="1" applyFill="1"/>
    <xf numFmtId="0" fontId="11" fillId="6" borderId="0" xfId="0" applyFont="1" applyFill="1" applyAlignment="1">
      <alignment horizontal="right"/>
    </xf>
    <xf numFmtId="167" fontId="11" fillId="6" borderId="0" xfId="0" applyNumberFormat="1" applyFont="1" applyFill="1"/>
    <xf numFmtId="0" fontId="4" fillId="10" borderId="0" xfId="0" applyFont="1" applyFill="1" applyAlignment="1" applyProtection="1">
      <alignment horizontal="right"/>
      <protection locked="0"/>
    </xf>
    <xf numFmtId="0" fontId="4" fillId="10" borderId="0" xfId="0" applyFont="1" applyFill="1" applyProtection="1">
      <protection locked="0"/>
    </xf>
    <xf numFmtId="0" fontId="5" fillId="10" borderId="29" xfId="0" applyFont="1" applyFill="1" applyBorder="1" applyProtection="1">
      <protection locked="0"/>
    </xf>
    <xf numFmtId="0" fontId="28" fillId="0" borderId="0" xfId="0" applyFont="1"/>
    <xf numFmtId="0" fontId="5" fillId="8" borderId="0" xfId="0" applyFont="1" applyFill="1"/>
    <xf numFmtId="0" fontId="29" fillId="0" borderId="0" xfId="0" applyFont="1"/>
    <xf numFmtId="0" fontId="30" fillId="0" borderId="0" xfId="0" applyFont="1"/>
    <xf numFmtId="0" fontId="5" fillId="10" borderId="0" xfId="0" applyFont="1" applyFill="1"/>
    <xf numFmtId="0" fontId="5" fillId="2" borderId="28" xfId="0" applyFont="1" applyFill="1" applyBorder="1" applyAlignment="1">
      <alignment horizontal="right"/>
    </xf>
    <xf numFmtId="0" fontId="5" fillId="2" borderId="29" xfId="0" applyFont="1" applyFill="1" applyBorder="1" applyAlignment="1">
      <alignment horizontal="right"/>
    </xf>
    <xf numFmtId="0" fontId="8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5" fillId="2" borderId="3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19" fillId="7" borderId="25" xfId="0" applyFont="1" applyFill="1" applyBorder="1" applyAlignment="1">
      <alignment horizontal="center"/>
    </xf>
    <xf numFmtId="0" fontId="19" fillId="7" borderId="23" xfId="0" applyFont="1" applyFill="1" applyBorder="1" applyAlignment="1">
      <alignment horizontal="center"/>
    </xf>
    <xf numFmtId="0" fontId="19" fillId="7" borderId="26" xfId="0" applyFont="1" applyFill="1" applyBorder="1" applyAlignment="1">
      <alignment horizontal="center"/>
    </xf>
  </cellXfs>
  <cellStyles count="1">
    <cellStyle name="Standard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Medium9"/>
  <colors>
    <mruColors>
      <color rgb="FFFF66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Heat_Pump!$I$2</c:f>
          <c:strCache>
            <c:ptCount val="1"/>
            <c:pt idx="0">
              <c:v>R134a</c:v>
            </c:pt>
          </c:strCache>
        </c:strRef>
      </c:tx>
      <c:layout>
        <c:manualLayout>
          <c:xMode val="edge"/>
          <c:yMode val="edge"/>
          <c:x val="0.66351794885824622"/>
          <c:y val="3.5210596531351251E-2"/>
        </c:manualLayout>
      </c:layout>
      <c:overlay val="0"/>
      <c:txPr>
        <a:bodyPr/>
        <a:lstStyle/>
        <a:p>
          <a:pPr>
            <a:defRPr/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8177320423702767"/>
          <c:y val="0.13903716933201693"/>
          <c:w val="0.7565037857721848"/>
          <c:h val="0.68991051405811477"/>
        </c:manualLayout>
      </c:layout>
      <c:scatterChart>
        <c:scatterStyle val="lineMarker"/>
        <c:varyColors val="0"/>
        <c:ser>
          <c:idx val="0"/>
          <c:order val="0"/>
          <c:tx>
            <c:v>Sat. liquid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Heat_Pump!$H$9:$H$49</c:f>
              <c:numCache>
                <c:formatCode>0.000</c:formatCode>
                <c:ptCount val="41"/>
                <c:pt idx="0">
                  <c:v>160.79197795299146</c:v>
                </c:pt>
                <c:pt idx="1">
                  <c:v>173.63574380724836</c:v>
                </c:pt>
                <c:pt idx="2">
                  <c:v>186.69659112921045</c:v>
                </c:pt>
                <c:pt idx="3">
                  <c:v>199.99998852614488</c:v>
                </c:pt>
                <c:pt idx="4">
                  <c:v>213.57723713968767</c:v>
                </c:pt>
                <c:pt idx="5">
                  <c:v>227.4677311704481</c:v>
                </c:pt>
                <c:pt idx="6">
                  <c:v>241.72239230865415</c:v>
                </c:pt>
                <c:pt idx="7">
                  <c:v>256.40924455736837</c:v>
                </c:pt>
                <c:pt idx="8">
                  <c:v>271.62315767623505</c:v>
                </c:pt>
                <c:pt idx="9">
                  <c:v>287.50469453813434</c:v>
                </c:pt>
                <c:pt idx="10">
                  <c:v>304.28239699810268</c:v>
                </c:pt>
                <c:pt idx="11">
                  <c:v>322.39024697004157</c:v>
                </c:pt>
                <c:pt idx="12">
                  <c:v>342.92817891708268</c:v>
                </c:pt>
                <c:pt idx="13">
                  <c:v>373.30415759174042</c:v>
                </c:pt>
                <c:pt idx="14">
                  <c:v>389.63886644058454</c:v>
                </c:pt>
                <c:pt idx="15">
                  <c:v>389.63886644058454</c:v>
                </c:pt>
                <c:pt idx="16">
                  <c:v>389.63886644058454</c:v>
                </c:pt>
                <c:pt idx="17">
                  <c:v>389.63886644058454</c:v>
                </c:pt>
                <c:pt idx="18">
                  <c:v>389.63886644058454</c:v>
                </c:pt>
                <c:pt idx="19">
                  <c:v>389.63886644058454</c:v>
                </c:pt>
                <c:pt idx="20">
                  <c:v>389.63886644058454</c:v>
                </c:pt>
                <c:pt idx="21">
                  <c:v>389.63886644058454</c:v>
                </c:pt>
                <c:pt idx="22">
                  <c:v>389.63886644058454</c:v>
                </c:pt>
                <c:pt idx="23">
                  <c:v>389.63886644058454</c:v>
                </c:pt>
                <c:pt idx="24">
                  <c:v>389.63886644058454</c:v>
                </c:pt>
                <c:pt idx="25">
                  <c:v>389.63886644058454</c:v>
                </c:pt>
                <c:pt idx="26">
                  <c:v>389.63886644058454</c:v>
                </c:pt>
                <c:pt idx="27">
                  <c:v>389.63886644058454</c:v>
                </c:pt>
                <c:pt idx="28">
                  <c:v>389.63886644058454</c:v>
                </c:pt>
                <c:pt idx="29">
                  <c:v>389.63886644058454</c:v>
                </c:pt>
                <c:pt idx="30">
                  <c:v>389.63886644058454</c:v>
                </c:pt>
                <c:pt idx="31">
                  <c:v>389.63886644058454</c:v>
                </c:pt>
                <c:pt idx="32">
                  <c:v>389.63886644058454</c:v>
                </c:pt>
                <c:pt idx="33">
                  <c:v>389.63886644058454</c:v>
                </c:pt>
                <c:pt idx="34">
                  <c:v>389.63886644058454</c:v>
                </c:pt>
                <c:pt idx="35">
                  <c:v>389.63886644058454</c:v>
                </c:pt>
                <c:pt idx="36">
                  <c:v>389.63886644058454</c:v>
                </c:pt>
                <c:pt idx="37">
                  <c:v>389.63886644058454</c:v>
                </c:pt>
                <c:pt idx="38">
                  <c:v>389.63886644058454</c:v>
                </c:pt>
                <c:pt idx="39">
                  <c:v>389.63886644058454</c:v>
                </c:pt>
                <c:pt idx="40">
                  <c:v>389.63886644058454</c:v>
                </c:pt>
              </c:numCache>
            </c:numRef>
          </c:xVal>
          <c:yVal>
            <c:numRef>
              <c:f>Heat_Pump!$E$9:$E$49</c:f>
              <c:numCache>
                <c:formatCode>0.000</c:formatCode>
                <c:ptCount val="41"/>
                <c:pt idx="0">
                  <c:v>84.377742781095378</c:v>
                </c:pt>
                <c:pt idx="1">
                  <c:v>132.73497949922276</c:v>
                </c:pt>
                <c:pt idx="2">
                  <c:v>200.6033074727022</c:v>
                </c:pt>
                <c:pt idx="3">
                  <c:v>292.80318233949515</c:v>
                </c:pt>
                <c:pt idx="4">
                  <c:v>414.6074673626444</c:v>
                </c:pt>
                <c:pt idx="5">
                  <c:v>571.70690904444871</c:v>
                </c:pt>
                <c:pt idx="6">
                  <c:v>770.19630307688453</c:v>
                </c:pt>
                <c:pt idx="7">
                  <c:v>1016.5930221206467</c:v>
                </c:pt>
                <c:pt idx="8">
                  <c:v>1317.9054900373355</c:v>
                </c:pt>
                <c:pt idx="9">
                  <c:v>1681.7842182961847</c:v>
                </c:pt>
                <c:pt idx="10">
                  <c:v>2116.8256950330274</c:v>
                </c:pt>
                <c:pt idx="11">
                  <c:v>2633.2033284409895</c:v>
                </c:pt>
                <c:pt idx="12">
                  <c:v>3244.1826051627795</c:v>
                </c:pt>
                <c:pt idx="13">
                  <c:v>3975.3933425723631</c:v>
                </c:pt>
                <c:pt idx="14">
                  <c:v>4059.1115388408266</c:v>
                </c:pt>
                <c:pt idx="15">
                  <c:v>4059.1115388408266</c:v>
                </c:pt>
                <c:pt idx="16">
                  <c:v>4059.1115388408266</c:v>
                </c:pt>
                <c:pt idx="17">
                  <c:v>4059.1115388408266</c:v>
                </c:pt>
                <c:pt idx="18">
                  <c:v>4059.1115388408266</c:v>
                </c:pt>
                <c:pt idx="19">
                  <c:v>4059.1115388408266</c:v>
                </c:pt>
                <c:pt idx="20">
                  <c:v>4059.1115388408266</c:v>
                </c:pt>
                <c:pt idx="21">
                  <c:v>4059.1115388408266</c:v>
                </c:pt>
                <c:pt idx="22">
                  <c:v>4059.1115388408266</c:v>
                </c:pt>
                <c:pt idx="23">
                  <c:v>4059.1115388408266</c:v>
                </c:pt>
                <c:pt idx="24">
                  <c:v>4059.1115388408266</c:v>
                </c:pt>
                <c:pt idx="25">
                  <c:v>4059.1115388408266</c:v>
                </c:pt>
                <c:pt idx="26">
                  <c:v>4059.1115388408266</c:v>
                </c:pt>
                <c:pt idx="27">
                  <c:v>4059.1115388408266</c:v>
                </c:pt>
                <c:pt idx="28">
                  <c:v>4059.1115388408266</c:v>
                </c:pt>
                <c:pt idx="29">
                  <c:v>4059.1115388408266</c:v>
                </c:pt>
                <c:pt idx="30">
                  <c:v>4059.1115388408266</c:v>
                </c:pt>
                <c:pt idx="31">
                  <c:v>4059.1115388408266</c:v>
                </c:pt>
                <c:pt idx="32">
                  <c:v>4059.1115388408266</c:v>
                </c:pt>
                <c:pt idx="33">
                  <c:v>4059.1115388408266</c:v>
                </c:pt>
                <c:pt idx="34">
                  <c:v>4059.1115388408266</c:v>
                </c:pt>
                <c:pt idx="35">
                  <c:v>4059.1115388408266</c:v>
                </c:pt>
                <c:pt idx="36">
                  <c:v>4059.1115388408266</c:v>
                </c:pt>
                <c:pt idx="37">
                  <c:v>4059.1115388408266</c:v>
                </c:pt>
                <c:pt idx="38">
                  <c:v>4059.1115388408266</c:v>
                </c:pt>
                <c:pt idx="39">
                  <c:v>4059.1115388408266</c:v>
                </c:pt>
                <c:pt idx="40">
                  <c:v>4059.28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B1F-4022-A0A8-6F1137F1C2FF}"/>
            </c:ext>
          </c:extLst>
        </c:ser>
        <c:ser>
          <c:idx val="1"/>
          <c:order val="1"/>
          <c:tx>
            <c:v>Sat. vapor</c:v>
          </c:tx>
          <c:spPr>
            <a:ln w="25400">
              <a:solidFill>
                <a:srgbClr val="0070C0"/>
              </a:solidFill>
            </a:ln>
          </c:spPr>
          <c:marker>
            <c:symbol val="none"/>
          </c:marker>
          <c:xVal>
            <c:numRef>
              <c:f>Heat_Pump!$I$9:$I$49</c:f>
              <c:numCache>
                <c:formatCode>0.000</c:formatCode>
                <c:ptCount val="41"/>
                <c:pt idx="0">
                  <c:v>380.3185682060153</c:v>
                </c:pt>
                <c:pt idx="1">
                  <c:v>386.55426163130926</c:v>
                </c:pt>
                <c:pt idx="2">
                  <c:v>392.66491356786076</c:v>
                </c:pt>
                <c:pt idx="3">
                  <c:v>398.60345362765491</c:v>
                </c:pt>
                <c:pt idx="4">
                  <c:v>404.31811820731775</c:v>
                </c:pt>
                <c:pt idx="5">
                  <c:v>409.74832087882811</c:v>
                </c:pt>
                <c:pt idx="6">
                  <c:v>414.81851182791809</c:v>
                </c:pt>
                <c:pt idx="7">
                  <c:v>419.42852424669871</c:v>
                </c:pt>
                <c:pt idx="8">
                  <c:v>423.43699358719789</c:v>
                </c:pt>
                <c:pt idx="9">
                  <c:v>426.62963721191687</c:v>
                </c:pt>
                <c:pt idx="10">
                  <c:v>428.64978201608511</c:v>
                </c:pt>
                <c:pt idx="11">
                  <c:v>428.8135540301335</c:v>
                </c:pt>
                <c:pt idx="12">
                  <c:v>425.41558324557997</c:v>
                </c:pt>
                <c:pt idx="13">
                  <c:v>404.45940776519967</c:v>
                </c:pt>
                <c:pt idx="14">
                  <c:v>389.63886644058454</c:v>
                </c:pt>
                <c:pt idx="15">
                  <c:v>389.63886644058454</c:v>
                </c:pt>
                <c:pt idx="16">
                  <c:v>389.63886644058454</c:v>
                </c:pt>
                <c:pt idx="17">
                  <c:v>389.63886644058454</c:v>
                </c:pt>
                <c:pt idx="18">
                  <c:v>389.63886644058454</c:v>
                </c:pt>
                <c:pt idx="19">
                  <c:v>389.63886644058454</c:v>
                </c:pt>
                <c:pt idx="20">
                  <c:v>389.63886644058454</c:v>
                </c:pt>
                <c:pt idx="21">
                  <c:v>389.63886644058454</c:v>
                </c:pt>
                <c:pt idx="22">
                  <c:v>389.63886644058454</c:v>
                </c:pt>
                <c:pt idx="23">
                  <c:v>389.63886644058454</c:v>
                </c:pt>
                <c:pt idx="24">
                  <c:v>389.63886644058454</c:v>
                </c:pt>
                <c:pt idx="25">
                  <c:v>389.63886644058454</c:v>
                </c:pt>
                <c:pt idx="26">
                  <c:v>389.63886644058454</c:v>
                </c:pt>
                <c:pt idx="27">
                  <c:v>389.63886644058454</c:v>
                </c:pt>
                <c:pt idx="28">
                  <c:v>389.63886644058454</c:v>
                </c:pt>
                <c:pt idx="29">
                  <c:v>389.63886644058454</c:v>
                </c:pt>
                <c:pt idx="30">
                  <c:v>389.63886644058454</c:v>
                </c:pt>
                <c:pt idx="31">
                  <c:v>389.63886644058454</c:v>
                </c:pt>
                <c:pt idx="32">
                  <c:v>389.63886644058454</c:v>
                </c:pt>
                <c:pt idx="33">
                  <c:v>389.63886644058454</c:v>
                </c:pt>
                <c:pt idx="34">
                  <c:v>389.63886644058454</c:v>
                </c:pt>
                <c:pt idx="35">
                  <c:v>389.63886644058454</c:v>
                </c:pt>
                <c:pt idx="36">
                  <c:v>389.63886644058454</c:v>
                </c:pt>
                <c:pt idx="37">
                  <c:v>389.63886644058454</c:v>
                </c:pt>
                <c:pt idx="38">
                  <c:v>389.63886644058454</c:v>
                </c:pt>
                <c:pt idx="39">
                  <c:v>389.63886644058454</c:v>
                </c:pt>
                <c:pt idx="40">
                  <c:v>389.63886644058454</c:v>
                </c:pt>
              </c:numCache>
            </c:numRef>
          </c:xVal>
          <c:yVal>
            <c:numRef>
              <c:f>Heat_Pump!$E$9:$E$49</c:f>
              <c:numCache>
                <c:formatCode>0.000</c:formatCode>
                <c:ptCount val="41"/>
                <c:pt idx="0">
                  <c:v>84.377742781095378</c:v>
                </c:pt>
                <c:pt idx="1">
                  <c:v>132.73497949922276</c:v>
                </c:pt>
                <c:pt idx="2">
                  <c:v>200.6033074727022</c:v>
                </c:pt>
                <c:pt idx="3">
                  <c:v>292.80318233949515</c:v>
                </c:pt>
                <c:pt idx="4">
                  <c:v>414.6074673626444</c:v>
                </c:pt>
                <c:pt idx="5">
                  <c:v>571.70690904444871</c:v>
                </c:pt>
                <c:pt idx="6">
                  <c:v>770.19630307688453</c:v>
                </c:pt>
                <c:pt idx="7">
                  <c:v>1016.5930221206467</c:v>
                </c:pt>
                <c:pt idx="8">
                  <c:v>1317.9054900373355</c:v>
                </c:pt>
                <c:pt idx="9">
                  <c:v>1681.7842182961847</c:v>
                </c:pt>
                <c:pt idx="10">
                  <c:v>2116.8256950330274</c:v>
                </c:pt>
                <c:pt idx="11">
                  <c:v>2633.2033284409895</c:v>
                </c:pt>
                <c:pt idx="12">
                  <c:v>3244.1826051627795</c:v>
                </c:pt>
                <c:pt idx="13">
                  <c:v>3975.3933425723631</c:v>
                </c:pt>
                <c:pt idx="14">
                  <c:v>4059.1115388408266</c:v>
                </c:pt>
                <c:pt idx="15">
                  <c:v>4059.1115388408266</c:v>
                </c:pt>
                <c:pt idx="16">
                  <c:v>4059.1115388408266</c:v>
                </c:pt>
                <c:pt idx="17">
                  <c:v>4059.1115388408266</c:v>
                </c:pt>
                <c:pt idx="18">
                  <c:v>4059.1115388408266</c:v>
                </c:pt>
                <c:pt idx="19">
                  <c:v>4059.1115388408266</c:v>
                </c:pt>
                <c:pt idx="20">
                  <c:v>4059.1115388408266</c:v>
                </c:pt>
                <c:pt idx="21">
                  <c:v>4059.1115388408266</c:v>
                </c:pt>
                <c:pt idx="22">
                  <c:v>4059.1115388408266</c:v>
                </c:pt>
                <c:pt idx="23">
                  <c:v>4059.1115388408266</c:v>
                </c:pt>
                <c:pt idx="24">
                  <c:v>4059.1115388408266</c:v>
                </c:pt>
                <c:pt idx="25">
                  <c:v>4059.1115388408266</c:v>
                </c:pt>
                <c:pt idx="26">
                  <c:v>4059.1115388408266</c:v>
                </c:pt>
                <c:pt idx="27">
                  <c:v>4059.1115388408266</c:v>
                </c:pt>
                <c:pt idx="28">
                  <c:v>4059.1115388408266</c:v>
                </c:pt>
                <c:pt idx="29">
                  <c:v>4059.1115388408266</c:v>
                </c:pt>
                <c:pt idx="30">
                  <c:v>4059.1115388408266</c:v>
                </c:pt>
                <c:pt idx="31">
                  <c:v>4059.1115388408266</c:v>
                </c:pt>
                <c:pt idx="32">
                  <c:v>4059.1115388408266</c:v>
                </c:pt>
                <c:pt idx="33">
                  <c:v>4059.1115388408266</c:v>
                </c:pt>
                <c:pt idx="34">
                  <c:v>4059.1115388408266</c:v>
                </c:pt>
                <c:pt idx="35">
                  <c:v>4059.1115388408266</c:v>
                </c:pt>
                <c:pt idx="36">
                  <c:v>4059.1115388408266</c:v>
                </c:pt>
                <c:pt idx="37">
                  <c:v>4059.1115388408266</c:v>
                </c:pt>
                <c:pt idx="38">
                  <c:v>4059.1115388408266</c:v>
                </c:pt>
                <c:pt idx="39">
                  <c:v>4059.1115388408266</c:v>
                </c:pt>
                <c:pt idx="40">
                  <c:v>4059.28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B1F-4022-A0A8-6F1137F1C2FF}"/>
            </c:ext>
          </c:extLst>
        </c:ser>
        <c:ser>
          <c:idx val="2"/>
          <c:order val="2"/>
          <c:tx>
            <c:v>Refr. cycle</c:v>
          </c:tx>
          <c:marker>
            <c:symbol val="none"/>
          </c:marker>
          <c:dPt>
            <c:idx val="1"/>
            <c:bubble3D val="0"/>
            <c:spPr>
              <a:ln>
                <a:tailEnd type="triangle"/>
              </a:ln>
            </c:spPr>
            <c:extLst>
              <c:ext xmlns:c16="http://schemas.microsoft.com/office/drawing/2014/chart" uri="{C3380CC4-5D6E-409C-BE32-E72D297353CC}">
                <c16:uniqueId val="{00000001-961F-4E08-B7A7-61E89C174FFC}"/>
              </c:ext>
            </c:extLst>
          </c:dPt>
          <c:dPt>
            <c:idx val="5"/>
            <c:bubble3D val="0"/>
            <c:spPr>
              <a:ln>
                <a:tailEnd type="triangle"/>
              </a:ln>
            </c:spPr>
            <c:extLst>
              <c:ext xmlns:c16="http://schemas.microsoft.com/office/drawing/2014/chart" uri="{C3380CC4-5D6E-409C-BE32-E72D297353CC}">
                <c16:uniqueId val="{00000002-961F-4E08-B7A7-61E89C174FFC}"/>
              </c:ext>
            </c:extLst>
          </c:dPt>
          <c:dLbls>
            <c:dLbl>
              <c:idx val="0"/>
              <c:layout>
                <c:manualLayout>
                  <c:x val="-3.831292022284654E-2"/>
                  <c:y val="7.068707278152518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12AC-4215-863A-5007862C02B3}"/>
                </c:ext>
              </c:extLst>
            </c:dLbl>
            <c:dLbl>
              <c:idx val="1"/>
              <c:layout>
                <c:manualLayout>
                  <c:x val="-5.6196234996292449E-2"/>
                  <c:y val="-4.953342530656891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961F-4E08-B7A7-61E89C174FFC}"/>
                </c:ext>
              </c:extLst>
            </c:dLbl>
            <c:dLbl>
              <c:idx val="2"/>
              <c:layout>
                <c:manualLayout>
                  <c:x val="-2.5522346084380855E-3"/>
                  <c:y val="2.479282977474750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12AC-4215-863A-5007862C02B3}"/>
                </c:ext>
              </c:extLst>
            </c:dLbl>
            <c:dLbl>
              <c:idx val="3"/>
              <c:layout>
                <c:manualLayout>
                  <c:x val="-1.788394866321023E-2"/>
                  <c:y val="0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4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12AC-4215-863A-5007862C02B3}"/>
                </c:ext>
              </c:extLst>
            </c:dLbl>
            <c:dLbl>
              <c:idx val="4"/>
              <c:layout>
                <c:manualLayout>
                  <c:x val="-3.5767897326420085E-2"/>
                  <c:y val="-2.837967423150719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5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12AC-4215-863A-5007862C02B3}"/>
                </c:ext>
              </c:extLst>
            </c:dLbl>
            <c:dLbl>
              <c:idx val="5"/>
              <c:layout>
                <c:manualLayout>
                  <c:x val="-5.0297438935353767E-6"/>
                  <c:y val="2.454673004651286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961F-4E08-B7A7-61E89C174FFC}"/>
                </c:ext>
              </c:extLst>
            </c:dLbl>
            <c:dLbl>
              <c:idx val="6"/>
              <c:layout>
                <c:manualLayout>
                  <c:x val="-7.4089334689620534E-2"/>
                  <c:y val="1.400634983408892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7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9-12AC-4215-863A-5007862C02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Heat_Pump!$U$35:$AB$35</c:f>
              <c:numCache>
                <c:formatCode>0</c:formatCode>
                <c:ptCount val="8"/>
                <c:pt idx="0">
                  <c:v>248.9722964659924</c:v>
                </c:pt>
                <c:pt idx="1">
                  <c:v>398.01876691710817</c:v>
                </c:pt>
                <c:pt idx="2">
                  <c:v>402.46428084484779</c:v>
                </c:pt>
                <c:pt idx="3">
                  <c:v>435.2298539348879</c:v>
                </c:pt>
                <c:pt idx="4">
                  <c:v>418.54933846969544</c:v>
                </c:pt>
                <c:pt idx="5">
                  <c:v>253.4332437597551</c:v>
                </c:pt>
                <c:pt idx="6">
                  <c:v>248.9722964659924</c:v>
                </c:pt>
                <c:pt idx="7" formatCode="0.0">
                  <c:v>248.9722964659924</c:v>
                </c:pt>
              </c:numCache>
            </c:numRef>
          </c:xVal>
          <c:yVal>
            <c:numRef>
              <c:f>Heat_Pump!$U$34:$AB$34</c:f>
              <c:numCache>
                <c:formatCode>0.0</c:formatCode>
                <c:ptCount val="8"/>
                <c:pt idx="0">
                  <c:v>282.34136167112484</c:v>
                </c:pt>
                <c:pt idx="1">
                  <c:v>282.34136167112484</c:v>
                </c:pt>
                <c:pt idx="2">
                  <c:v>282.34136167112484</c:v>
                </c:pt>
                <c:pt idx="3">
                  <c:v>963.15265663864125</c:v>
                </c:pt>
                <c:pt idx="4">
                  <c:v>963.15265663864125</c:v>
                </c:pt>
                <c:pt idx="5">
                  <c:v>963.15265663864125</c:v>
                </c:pt>
                <c:pt idx="6">
                  <c:v>963.15265663864125</c:v>
                </c:pt>
                <c:pt idx="7">
                  <c:v>282.34136167112484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91C-483A-AAA8-8AE3325CF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8211264"/>
        <c:axId val="268211840"/>
      </c:scatterChart>
      <c:valAx>
        <c:axId val="268211264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Enthalpy [kJ/kg]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268211840"/>
        <c:crossesAt val="0.1"/>
        <c:crossBetween val="midCat"/>
      </c:valAx>
      <c:valAx>
        <c:axId val="268211840"/>
        <c:scaling>
          <c:logBase val="10"/>
          <c:orientation val="minMax"/>
          <c:min val="1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Pressure  [kPa]</a:t>
                </a:r>
              </a:p>
            </c:rich>
          </c:tx>
          <c:layout>
            <c:manualLayout>
              <c:xMode val="edge"/>
              <c:yMode val="edge"/>
              <c:x val="2.4455963111187039E-2"/>
              <c:y val="0.36833942186488305"/>
            </c:manualLayout>
          </c:layout>
          <c:overlay val="0"/>
        </c:title>
        <c:numFmt formatCode="0.0" sourceLinked="0"/>
        <c:majorTickMark val="none"/>
        <c:minorTickMark val="none"/>
        <c:tickLblPos val="nextTo"/>
        <c:crossAx val="26821126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22301016562841608"/>
          <c:y val="0.17941146295266855"/>
          <c:w val="0.19531100033743984"/>
          <c:h val="0.14653279591402976"/>
        </c:manualLayout>
      </c:layout>
      <c:overlay val="0"/>
      <c:spPr>
        <a:solidFill>
          <a:schemeClr val="bg1"/>
        </a:solidFill>
        <a:ln w="19050"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Heat_Pump!$I$2</c:f>
          <c:strCache>
            <c:ptCount val="1"/>
            <c:pt idx="0">
              <c:v>R134a</c:v>
            </c:pt>
          </c:strCache>
        </c:strRef>
      </c:tx>
      <c:layout>
        <c:manualLayout>
          <c:xMode val="edge"/>
          <c:yMode val="edge"/>
          <c:x val="0.7498036307127216"/>
          <c:y val="2.0418450109274337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1511351706036747"/>
          <c:y val="0.1798186284406757"/>
          <c:w val="0.72038560804899388"/>
          <c:h val="0.6120546470152769"/>
        </c:manualLayout>
      </c:layout>
      <c:scatterChart>
        <c:scatterStyle val="lineMarker"/>
        <c:varyColors val="0"/>
        <c:ser>
          <c:idx val="0"/>
          <c:order val="0"/>
          <c:tx>
            <c:v>Sat.All_Saturation!$AA$63-liquid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Heat_Pump!$F$9:$F$49</c:f>
              <c:numCache>
                <c:formatCode>0.000</c:formatCode>
                <c:ptCount val="41"/>
                <c:pt idx="0">
                  <c:v>1388.4017483451739</c:v>
                </c:pt>
                <c:pt idx="1">
                  <c:v>1358.2653901099084</c:v>
                </c:pt>
                <c:pt idx="2">
                  <c:v>1327.1261634410075</c:v>
                </c:pt>
                <c:pt idx="3">
                  <c:v>1294.7770206645357</c:v>
                </c:pt>
                <c:pt idx="4">
                  <c:v>1260.9576879668566</c:v>
                </c:pt>
                <c:pt idx="5">
                  <c:v>1225.333402271561</c:v>
                </c:pt>
                <c:pt idx="6">
                  <c:v>1187.4618543773477</c:v>
                </c:pt>
                <c:pt idx="7">
                  <c:v>1146.7392430383748</c:v>
                </c:pt>
                <c:pt idx="8">
                  <c:v>1102.305856171602</c:v>
                </c:pt>
                <c:pt idx="9">
                  <c:v>1052.8621589388515</c:v>
                </c:pt>
                <c:pt idx="10">
                  <c:v>996.24818800624018</c:v>
                </c:pt>
                <c:pt idx="11">
                  <c:v>928.24441107212226</c:v>
                </c:pt>
                <c:pt idx="12">
                  <c:v>837.82602444386805</c:v>
                </c:pt>
                <c:pt idx="13">
                  <c:v>651.11449987754486</c:v>
                </c:pt>
                <c:pt idx="14">
                  <c:v>511.89995169599996</c:v>
                </c:pt>
                <c:pt idx="15">
                  <c:v>511.89995169599996</c:v>
                </c:pt>
                <c:pt idx="16">
                  <c:v>511.89995169599996</c:v>
                </c:pt>
                <c:pt idx="17">
                  <c:v>511.89995169599996</c:v>
                </c:pt>
                <c:pt idx="18">
                  <c:v>511.89995169599996</c:v>
                </c:pt>
                <c:pt idx="19">
                  <c:v>511.89995169599996</c:v>
                </c:pt>
                <c:pt idx="20">
                  <c:v>511.89995169599996</c:v>
                </c:pt>
                <c:pt idx="21">
                  <c:v>511.89995169599996</c:v>
                </c:pt>
                <c:pt idx="22">
                  <c:v>511.89995169599996</c:v>
                </c:pt>
                <c:pt idx="23">
                  <c:v>511.89995169599996</c:v>
                </c:pt>
                <c:pt idx="24">
                  <c:v>511.89995169599996</c:v>
                </c:pt>
                <c:pt idx="25">
                  <c:v>511.89995169599996</c:v>
                </c:pt>
                <c:pt idx="26">
                  <c:v>511.89995169599996</c:v>
                </c:pt>
                <c:pt idx="27">
                  <c:v>511.89995169599996</c:v>
                </c:pt>
                <c:pt idx="28">
                  <c:v>511.89995169599996</c:v>
                </c:pt>
                <c:pt idx="29">
                  <c:v>511.89995169599996</c:v>
                </c:pt>
                <c:pt idx="30">
                  <c:v>511.89995169599996</c:v>
                </c:pt>
                <c:pt idx="31">
                  <c:v>511.89995169599996</c:v>
                </c:pt>
                <c:pt idx="32">
                  <c:v>511.89995169599996</c:v>
                </c:pt>
                <c:pt idx="33">
                  <c:v>511.89995169599996</c:v>
                </c:pt>
                <c:pt idx="34">
                  <c:v>511.89995169599996</c:v>
                </c:pt>
                <c:pt idx="35">
                  <c:v>511.89995169599996</c:v>
                </c:pt>
                <c:pt idx="36">
                  <c:v>511.89995169599996</c:v>
                </c:pt>
                <c:pt idx="37">
                  <c:v>511.89995169599996</c:v>
                </c:pt>
                <c:pt idx="38">
                  <c:v>511.89995169599996</c:v>
                </c:pt>
                <c:pt idx="39">
                  <c:v>511.89995169599996</c:v>
                </c:pt>
                <c:pt idx="40">
                  <c:v>511.89995169599996</c:v>
                </c:pt>
              </c:numCache>
            </c:numRef>
          </c:xVal>
          <c:yVal>
            <c:numRef>
              <c:f>Heat_Pump!$E$9:$E$49</c:f>
              <c:numCache>
                <c:formatCode>0.000</c:formatCode>
                <c:ptCount val="41"/>
                <c:pt idx="0">
                  <c:v>84.377742781095378</c:v>
                </c:pt>
                <c:pt idx="1">
                  <c:v>132.73497949922276</c:v>
                </c:pt>
                <c:pt idx="2">
                  <c:v>200.6033074727022</c:v>
                </c:pt>
                <c:pt idx="3">
                  <c:v>292.80318233949515</c:v>
                </c:pt>
                <c:pt idx="4">
                  <c:v>414.6074673626444</c:v>
                </c:pt>
                <c:pt idx="5">
                  <c:v>571.70690904444871</c:v>
                </c:pt>
                <c:pt idx="6">
                  <c:v>770.19630307688453</c:v>
                </c:pt>
                <c:pt idx="7">
                  <c:v>1016.5930221206467</c:v>
                </c:pt>
                <c:pt idx="8">
                  <c:v>1317.9054900373355</c:v>
                </c:pt>
                <c:pt idx="9">
                  <c:v>1681.7842182961847</c:v>
                </c:pt>
                <c:pt idx="10">
                  <c:v>2116.8256950330274</c:v>
                </c:pt>
                <c:pt idx="11">
                  <c:v>2633.2033284409895</c:v>
                </c:pt>
                <c:pt idx="12">
                  <c:v>3244.1826051627795</c:v>
                </c:pt>
                <c:pt idx="13">
                  <c:v>3975.3933425723631</c:v>
                </c:pt>
                <c:pt idx="14">
                  <c:v>4059.1115388408266</c:v>
                </c:pt>
                <c:pt idx="15">
                  <c:v>4059.1115388408266</c:v>
                </c:pt>
                <c:pt idx="16">
                  <c:v>4059.1115388408266</c:v>
                </c:pt>
                <c:pt idx="17">
                  <c:v>4059.1115388408266</c:v>
                </c:pt>
                <c:pt idx="18">
                  <c:v>4059.1115388408266</c:v>
                </c:pt>
                <c:pt idx="19">
                  <c:v>4059.1115388408266</c:v>
                </c:pt>
                <c:pt idx="20">
                  <c:v>4059.1115388408266</c:v>
                </c:pt>
                <c:pt idx="21">
                  <c:v>4059.1115388408266</c:v>
                </c:pt>
                <c:pt idx="22">
                  <c:v>4059.1115388408266</c:v>
                </c:pt>
                <c:pt idx="23">
                  <c:v>4059.1115388408266</c:v>
                </c:pt>
                <c:pt idx="24">
                  <c:v>4059.1115388408266</c:v>
                </c:pt>
                <c:pt idx="25">
                  <c:v>4059.1115388408266</c:v>
                </c:pt>
                <c:pt idx="26">
                  <c:v>4059.1115388408266</c:v>
                </c:pt>
                <c:pt idx="27">
                  <c:v>4059.1115388408266</c:v>
                </c:pt>
                <c:pt idx="28">
                  <c:v>4059.1115388408266</c:v>
                </c:pt>
                <c:pt idx="29">
                  <c:v>4059.1115388408266</c:v>
                </c:pt>
                <c:pt idx="30">
                  <c:v>4059.1115388408266</c:v>
                </c:pt>
                <c:pt idx="31">
                  <c:v>4059.1115388408266</c:v>
                </c:pt>
                <c:pt idx="32">
                  <c:v>4059.1115388408266</c:v>
                </c:pt>
                <c:pt idx="33">
                  <c:v>4059.1115388408266</c:v>
                </c:pt>
                <c:pt idx="34">
                  <c:v>4059.1115388408266</c:v>
                </c:pt>
                <c:pt idx="35">
                  <c:v>4059.1115388408266</c:v>
                </c:pt>
                <c:pt idx="36">
                  <c:v>4059.1115388408266</c:v>
                </c:pt>
                <c:pt idx="37">
                  <c:v>4059.1115388408266</c:v>
                </c:pt>
                <c:pt idx="38">
                  <c:v>4059.1115388408266</c:v>
                </c:pt>
                <c:pt idx="39">
                  <c:v>4059.1115388408266</c:v>
                </c:pt>
                <c:pt idx="40">
                  <c:v>4059.28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55C-4EC2-8E2D-C59482BDFC41}"/>
            </c:ext>
          </c:extLst>
        </c:ser>
        <c:ser>
          <c:idx val="1"/>
          <c:order val="1"/>
          <c:tx>
            <c:v>Sat. Steam</c:v>
          </c:tx>
          <c:spPr>
            <a:ln w="25400">
              <a:solidFill>
                <a:srgbClr val="0070C0"/>
              </a:solidFill>
            </a:ln>
          </c:spPr>
          <c:marker>
            <c:symbol val="none"/>
          </c:marker>
          <c:xVal>
            <c:numRef>
              <c:f>Heat_Pump!$G$9:$G$49</c:f>
              <c:numCache>
                <c:formatCode>0.000</c:formatCode>
                <c:ptCount val="41"/>
                <c:pt idx="0">
                  <c:v>4.4258653056410386</c:v>
                </c:pt>
                <c:pt idx="1">
                  <c:v>6.7844953275727802</c:v>
                </c:pt>
                <c:pt idx="2">
                  <c:v>10.041153520209699</c:v>
                </c:pt>
                <c:pt idx="3">
                  <c:v>14.428201406950738</c:v>
                </c:pt>
                <c:pt idx="4">
                  <c:v>20.225768355693226</c:v>
                </c:pt>
                <c:pt idx="5">
                  <c:v>27.780264834245202</c:v>
                </c:pt>
                <c:pt idx="6">
                  <c:v>37.535297985964178</c:v>
                </c:pt>
                <c:pt idx="7">
                  <c:v>50.085023287240858</c:v>
                </c:pt>
                <c:pt idx="8">
                  <c:v>66.271648532148106</c:v>
                </c:pt>
                <c:pt idx="9">
                  <c:v>87.379446329025754</c:v>
                </c:pt>
                <c:pt idx="10">
                  <c:v>115.57150107591021</c:v>
                </c:pt>
                <c:pt idx="11">
                  <c:v>155.07843531840396</c:v>
                </c:pt>
                <c:pt idx="12">
                  <c:v>216.76084966539443</c:v>
                </c:pt>
                <c:pt idx="13">
                  <c:v>393.04566947906972</c:v>
                </c:pt>
                <c:pt idx="14">
                  <c:v>511.89995169599996</c:v>
                </c:pt>
                <c:pt idx="15">
                  <c:v>511.89995169599996</c:v>
                </c:pt>
                <c:pt idx="16">
                  <c:v>511.89995169599996</c:v>
                </c:pt>
                <c:pt idx="17">
                  <c:v>511.89995169599996</c:v>
                </c:pt>
                <c:pt idx="18">
                  <c:v>511.89995169599996</c:v>
                </c:pt>
                <c:pt idx="19">
                  <c:v>511.89995169599996</c:v>
                </c:pt>
                <c:pt idx="20">
                  <c:v>511.89995169599996</c:v>
                </c:pt>
                <c:pt idx="21">
                  <c:v>511.89995169599996</c:v>
                </c:pt>
                <c:pt idx="22">
                  <c:v>511.89995169599996</c:v>
                </c:pt>
                <c:pt idx="23">
                  <c:v>511.89995169599996</c:v>
                </c:pt>
                <c:pt idx="24">
                  <c:v>511.89995169599996</c:v>
                </c:pt>
                <c:pt idx="25">
                  <c:v>511.89995169599996</c:v>
                </c:pt>
                <c:pt idx="26">
                  <c:v>511.89995169599996</c:v>
                </c:pt>
                <c:pt idx="27">
                  <c:v>511.89995169599996</c:v>
                </c:pt>
                <c:pt idx="28">
                  <c:v>511.89995169599996</c:v>
                </c:pt>
                <c:pt idx="29">
                  <c:v>511.89995169599996</c:v>
                </c:pt>
                <c:pt idx="30">
                  <c:v>511.89995169599996</c:v>
                </c:pt>
                <c:pt idx="31">
                  <c:v>511.89995169599996</c:v>
                </c:pt>
                <c:pt idx="32">
                  <c:v>511.89995169599996</c:v>
                </c:pt>
                <c:pt idx="33">
                  <c:v>511.89995169599996</c:v>
                </c:pt>
                <c:pt idx="34">
                  <c:v>511.89995169599996</c:v>
                </c:pt>
                <c:pt idx="35">
                  <c:v>511.89995169599996</c:v>
                </c:pt>
                <c:pt idx="36">
                  <c:v>511.89995169599996</c:v>
                </c:pt>
                <c:pt idx="37">
                  <c:v>511.89995169599996</c:v>
                </c:pt>
                <c:pt idx="38">
                  <c:v>511.89995169599996</c:v>
                </c:pt>
                <c:pt idx="39">
                  <c:v>511.89995169599996</c:v>
                </c:pt>
                <c:pt idx="40">
                  <c:v>511.89995169599996</c:v>
                </c:pt>
              </c:numCache>
            </c:numRef>
          </c:xVal>
          <c:yVal>
            <c:numRef>
              <c:f>Heat_Pump!$E$9:$E$49</c:f>
              <c:numCache>
                <c:formatCode>0.000</c:formatCode>
                <c:ptCount val="41"/>
                <c:pt idx="0">
                  <c:v>84.377742781095378</c:v>
                </c:pt>
                <c:pt idx="1">
                  <c:v>132.73497949922276</c:v>
                </c:pt>
                <c:pt idx="2">
                  <c:v>200.6033074727022</c:v>
                </c:pt>
                <c:pt idx="3">
                  <c:v>292.80318233949515</c:v>
                </c:pt>
                <c:pt idx="4">
                  <c:v>414.6074673626444</c:v>
                </c:pt>
                <c:pt idx="5">
                  <c:v>571.70690904444871</c:v>
                </c:pt>
                <c:pt idx="6">
                  <c:v>770.19630307688453</c:v>
                </c:pt>
                <c:pt idx="7">
                  <c:v>1016.5930221206467</c:v>
                </c:pt>
                <c:pt idx="8">
                  <c:v>1317.9054900373355</c:v>
                </c:pt>
                <c:pt idx="9">
                  <c:v>1681.7842182961847</c:v>
                </c:pt>
                <c:pt idx="10">
                  <c:v>2116.8256950330274</c:v>
                </c:pt>
                <c:pt idx="11">
                  <c:v>2633.2033284409895</c:v>
                </c:pt>
                <c:pt idx="12">
                  <c:v>3244.1826051627795</c:v>
                </c:pt>
                <c:pt idx="13">
                  <c:v>3975.3933425723631</c:v>
                </c:pt>
                <c:pt idx="14">
                  <c:v>4059.1115388408266</c:v>
                </c:pt>
                <c:pt idx="15">
                  <c:v>4059.1115388408266</c:v>
                </c:pt>
                <c:pt idx="16">
                  <c:v>4059.1115388408266</c:v>
                </c:pt>
                <c:pt idx="17">
                  <c:v>4059.1115388408266</c:v>
                </c:pt>
                <c:pt idx="18">
                  <c:v>4059.1115388408266</c:v>
                </c:pt>
                <c:pt idx="19">
                  <c:v>4059.1115388408266</c:v>
                </c:pt>
                <c:pt idx="20">
                  <c:v>4059.1115388408266</c:v>
                </c:pt>
                <c:pt idx="21">
                  <c:v>4059.1115388408266</c:v>
                </c:pt>
                <c:pt idx="22">
                  <c:v>4059.1115388408266</c:v>
                </c:pt>
                <c:pt idx="23">
                  <c:v>4059.1115388408266</c:v>
                </c:pt>
                <c:pt idx="24">
                  <c:v>4059.1115388408266</c:v>
                </c:pt>
                <c:pt idx="25">
                  <c:v>4059.1115388408266</c:v>
                </c:pt>
                <c:pt idx="26">
                  <c:v>4059.1115388408266</c:v>
                </c:pt>
                <c:pt idx="27">
                  <c:v>4059.1115388408266</c:v>
                </c:pt>
                <c:pt idx="28">
                  <c:v>4059.1115388408266</c:v>
                </c:pt>
                <c:pt idx="29">
                  <c:v>4059.1115388408266</c:v>
                </c:pt>
                <c:pt idx="30">
                  <c:v>4059.1115388408266</c:v>
                </c:pt>
                <c:pt idx="31">
                  <c:v>4059.1115388408266</c:v>
                </c:pt>
                <c:pt idx="32">
                  <c:v>4059.1115388408266</c:v>
                </c:pt>
                <c:pt idx="33">
                  <c:v>4059.1115388408266</c:v>
                </c:pt>
                <c:pt idx="34">
                  <c:v>4059.1115388408266</c:v>
                </c:pt>
                <c:pt idx="35">
                  <c:v>4059.1115388408266</c:v>
                </c:pt>
                <c:pt idx="36">
                  <c:v>4059.1115388408266</c:v>
                </c:pt>
                <c:pt idx="37">
                  <c:v>4059.1115388408266</c:v>
                </c:pt>
                <c:pt idx="38">
                  <c:v>4059.1115388408266</c:v>
                </c:pt>
                <c:pt idx="39">
                  <c:v>4059.1115388408266</c:v>
                </c:pt>
                <c:pt idx="40">
                  <c:v>4059.28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55C-4EC2-8E2D-C59482BDFC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8213568"/>
        <c:axId val="276922368"/>
      </c:scatterChart>
      <c:valAx>
        <c:axId val="268213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Density [kg/m³]</a:t>
                </a:r>
              </a:p>
            </c:rich>
          </c:tx>
          <c:overlay val="0"/>
        </c:title>
        <c:numFmt formatCode="0" sourceLinked="0"/>
        <c:majorTickMark val="in"/>
        <c:minorTickMark val="none"/>
        <c:tickLblPos val="nextTo"/>
        <c:spPr>
          <a:ln/>
        </c:spPr>
        <c:crossAx val="276922368"/>
        <c:crossesAt val="0.1"/>
        <c:crossBetween val="midCat"/>
      </c:valAx>
      <c:valAx>
        <c:axId val="276922368"/>
        <c:scaling>
          <c:logBase val="10"/>
          <c:orientation val="minMax"/>
          <c:min val="10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Pressure [kPa]</a:t>
                </a:r>
              </a:p>
            </c:rich>
          </c:tx>
          <c:overlay val="0"/>
        </c:title>
        <c:numFmt formatCode="0.0" sourceLinked="0"/>
        <c:majorTickMark val="in"/>
        <c:minorTickMark val="none"/>
        <c:tickLblPos val="nextTo"/>
        <c:spPr>
          <a:ln/>
        </c:spPr>
        <c:crossAx val="26821356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42391242891166342"/>
          <c:y val="0.57540220279307253"/>
          <c:w val="0.29965843585151258"/>
          <c:h val="0.15455481526347667"/>
        </c:manualLayout>
      </c:layout>
      <c:overlay val="0"/>
      <c:spPr>
        <a:ln w="15875"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Heat_Pump!$I$2</c:f>
          <c:strCache>
            <c:ptCount val="1"/>
            <c:pt idx="0">
              <c:v>R134a</c:v>
            </c:pt>
          </c:strCache>
        </c:strRef>
      </c:tx>
      <c:layout>
        <c:manualLayout>
          <c:xMode val="edge"/>
          <c:yMode val="edge"/>
          <c:x val="0.6726529660016568"/>
          <c:y val="1.9427060067678029E-2"/>
        </c:manualLayout>
      </c:layout>
      <c:overlay val="0"/>
      <c:txPr>
        <a:bodyPr/>
        <a:lstStyle/>
        <a:p>
          <a:pPr>
            <a:defRPr/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Heat_Pump!$I$2</c:f>
              <c:strCache>
                <c:ptCount val="1"/>
                <c:pt idx="0">
                  <c:v>R134a</c:v>
                </c:pt>
              </c:strCache>
            </c:strRef>
          </c:tx>
          <c:spPr>
            <a:ln w="19050">
              <a:solidFill>
                <a:srgbClr val="0070C0"/>
              </a:solidFill>
            </a:ln>
          </c:spPr>
          <c:marker>
            <c:symbol val="none"/>
          </c:marker>
          <c:xVal>
            <c:numRef>
              <c:f>Heat_Pump!$D$9:$D$49</c:f>
              <c:numCache>
                <c:formatCode>0.00</c:formatCode>
                <c:ptCount val="41"/>
                <c:pt idx="0">
                  <c:v>-30</c:v>
                </c:pt>
                <c:pt idx="1">
                  <c:v>-20</c:v>
                </c:pt>
                <c:pt idx="2">
                  <c:v>-10</c:v>
                </c:pt>
                <c:pt idx="3">
                  <c:v>0</c:v>
                </c:pt>
                <c:pt idx="4">
                  <c:v>10</c:v>
                </c:pt>
                <c:pt idx="5">
                  <c:v>20</c:v>
                </c:pt>
                <c:pt idx="6">
                  <c:v>30</c:v>
                </c:pt>
                <c:pt idx="7">
                  <c:v>40</c:v>
                </c:pt>
                <c:pt idx="8">
                  <c:v>50</c:v>
                </c:pt>
                <c:pt idx="9">
                  <c:v>60</c:v>
                </c:pt>
                <c:pt idx="10">
                  <c:v>70</c:v>
                </c:pt>
                <c:pt idx="11">
                  <c:v>80</c:v>
                </c:pt>
                <c:pt idx="12">
                  <c:v>90</c:v>
                </c:pt>
                <c:pt idx="13">
                  <c:v>100</c:v>
                </c:pt>
                <c:pt idx="14">
                  <c:v>101.06</c:v>
                </c:pt>
                <c:pt idx="15">
                  <c:v>101.06</c:v>
                </c:pt>
                <c:pt idx="16">
                  <c:v>101.06</c:v>
                </c:pt>
                <c:pt idx="17">
                  <c:v>101.06</c:v>
                </c:pt>
                <c:pt idx="18">
                  <c:v>101.06</c:v>
                </c:pt>
                <c:pt idx="19">
                  <c:v>101.06</c:v>
                </c:pt>
                <c:pt idx="20">
                  <c:v>101.06</c:v>
                </c:pt>
                <c:pt idx="21">
                  <c:v>101.06</c:v>
                </c:pt>
                <c:pt idx="22">
                  <c:v>101.06</c:v>
                </c:pt>
                <c:pt idx="23">
                  <c:v>101.06</c:v>
                </c:pt>
                <c:pt idx="24">
                  <c:v>101.06</c:v>
                </c:pt>
                <c:pt idx="25">
                  <c:v>101.06</c:v>
                </c:pt>
                <c:pt idx="26">
                  <c:v>101.06</c:v>
                </c:pt>
                <c:pt idx="27">
                  <c:v>101.06</c:v>
                </c:pt>
                <c:pt idx="28">
                  <c:v>101.06</c:v>
                </c:pt>
                <c:pt idx="29">
                  <c:v>101.06</c:v>
                </c:pt>
                <c:pt idx="30">
                  <c:v>101.06</c:v>
                </c:pt>
                <c:pt idx="31">
                  <c:v>101.06</c:v>
                </c:pt>
                <c:pt idx="32">
                  <c:v>101.06</c:v>
                </c:pt>
                <c:pt idx="33">
                  <c:v>101.06</c:v>
                </c:pt>
                <c:pt idx="34">
                  <c:v>101.06</c:v>
                </c:pt>
                <c:pt idx="35">
                  <c:v>101.06</c:v>
                </c:pt>
                <c:pt idx="36">
                  <c:v>101.06</c:v>
                </c:pt>
                <c:pt idx="37">
                  <c:v>101.06</c:v>
                </c:pt>
                <c:pt idx="38">
                  <c:v>101.06</c:v>
                </c:pt>
                <c:pt idx="39">
                  <c:v>101.06</c:v>
                </c:pt>
                <c:pt idx="40">
                  <c:v>101.06</c:v>
                </c:pt>
              </c:numCache>
            </c:numRef>
          </c:xVal>
          <c:yVal>
            <c:numRef>
              <c:f>Heat_Pump!$E$9:$E$49</c:f>
              <c:numCache>
                <c:formatCode>0.000</c:formatCode>
                <c:ptCount val="41"/>
                <c:pt idx="0">
                  <c:v>84.377742781095378</c:v>
                </c:pt>
                <c:pt idx="1">
                  <c:v>132.73497949922276</c:v>
                </c:pt>
                <c:pt idx="2">
                  <c:v>200.6033074727022</c:v>
                </c:pt>
                <c:pt idx="3">
                  <c:v>292.80318233949515</c:v>
                </c:pt>
                <c:pt idx="4">
                  <c:v>414.6074673626444</c:v>
                </c:pt>
                <c:pt idx="5">
                  <c:v>571.70690904444871</c:v>
                </c:pt>
                <c:pt idx="6">
                  <c:v>770.19630307688453</c:v>
                </c:pt>
                <c:pt idx="7">
                  <c:v>1016.5930221206467</c:v>
                </c:pt>
                <c:pt idx="8">
                  <c:v>1317.9054900373355</c:v>
                </c:pt>
                <c:pt idx="9">
                  <c:v>1681.7842182961847</c:v>
                </c:pt>
                <c:pt idx="10">
                  <c:v>2116.8256950330274</c:v>
                </c:pt>
                <c:pt idx="11">
                  <c:v>2633.2033284409895</c:v>
                </c:pt>
                <c:pt idx="12">
                  <c:v>3244.1826051627795</c:v>
                </c:pt>
                <c:pt idx="13">
                  <c:v>3975.3933425723631</c:v>
                </c:pt>
                <c:pt idx="14">
                  <c:v>4059.1115388408266</c:v>
                </c:pt>
                <c:pt idx="15">
                  <c:v>4059.1115388408266</c:v>
                </c:pt>
                <c:pt idx="16">
                  <c:v>4059.1115388408266</c:v>
                </c:pt>
                <c:pt idx="17">
                  <c:v>4059.1115388408266</c:v>
                </c:pt>
                <c:pt idx="18">
                  <c:v>4059.1115388408266</c:v>
                </c:pt>
                <c:pt idx="19">
                  <c:v>4059.1115388408266</c:v>
                </c:pt>
                <c:pt idx="20">
                  <c:v>4059.1115388408266</c:v>
                </c:pt>
                <c:pt idx="21">
                  <c:v>4059.1115388408266</c:v>
                </c:pt>
                <c:pt idx="22">
                  <c:v>4059.1115388408266</c:v>
                </c:pt>
                <c:pt idx="23">
                  <c:v>4059.1115388408266</c:v>
                </c:pt>
                <c:pt idx="24">
                  <c:v>4059.1115388408266</c:v>
                </c:pt>
                <c:pt idx="25">
                  <c:v>4059.1115388408266</c:v>
                </c:pt>
                <c:pt idx="26">
                  <c:v>4059.1115388408266</c:v>
                </c:pt>
                <c:pt idx="27">
                  <c:v>4059.1115388408266</c:v>
                </c:pt>
                <c:pt idx="28">
                  <c:v>4059.1115388408266</c:v>
                </c:pt>
                <c:pt idx="29">
                  <c:v>4059.1115388408266</c:v>
                </c:pt>
                <c:pt idx="30">
                  <c:v>4059.1115388408266</c:v>
                </c:pt>
                <c:pt idx="31">
                  <c:v>4059.1115388408266</c:v>
                </c:pt>
                <c:pt idx="32">
                  <c:v>4059.1115388408266</c:v>
                </c:pt>
                <c:pt idx="33">
                  <c:v>4059.1115388408266</c:v>
                </c:pt>
                <c:pt idx="34">
                  <c:v>4059.1115388408266</c:v>
                </c:pt>
                <c:pt idx="35">
                  <c:v>4059.1115388408266</c:v>
                </c:pt>
                <c:pt idx="36">
                  <c:v>4059.1115388408266</c:v>
                </c:pt>
                <c:pt idx="37">
                  <c:v>4059.1115388408266</c:v>
                </c:pt>
                <c:pt idx="38">
                  <c:v>4059.1115388408266</c:v>
                </c:pt>
                <c:pt idx="39">
                  <c:v>4059.1115388408266</c:v>
                </c:pt>
                <c:pt idx="40">
                  <c:v>4059.28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E010-4E26-BB2C-9D9D7A0DC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6924096"/>
        <c:axId val="276924672"/>
      </c:scatterChart>
      <c:valAx>
        <c:axId val="276924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Temperature [°C]</a:t>
                </a:r>
              </a:p>
            </c:rich>
          </c:tx>
          <c:overlay val="0"/>
        </c:title>
        <c:numFmt formatCode="0" sourceLinked="0"/>
        <c:majorTickMark val="in"/>
        <c:minorTickMark val="none"/>
        <c:tickLblPos val="nextTo"/>
        <c:spPr>
          <a:ln/>
        </c:spPr>
        <c:crossAx val="276924672"/>
        <c:crossesAt val="0.1"/>
        <c:crossBetween val="midCat"/>
      </c:valAx>
      <c:valAx>
        <c:axId val="276924672"/>
        <c:scaling>
          <c:logBase val="10"/>
          <c:orientation val="minMax"/>
          <c:min val="10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Presure [kPa]</a:t>
                </a:r>
              </a:p>
            </c:rich>
          </c:tx>
          <c:overlay val="0"/>
        </c:title>
        <c:numFmt formatCode="0.0" sourceLinked="0"/>
        <c:majorTickMark val="in"/>
        <c:minorTickMark val="none"/>
        <c:tickLblPos val="nextTo"/>
        <c:spPr>
          <a:ln/>
        </c:spPr>
        <c:crossAx val="276924096"/>
        <c:crossesAt val="-400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Heat_Pump!$I$2</c:f>
          <c:strCache>
            <c:ptCount val="1"/>
            <c:pt idx="0">
              <c:v>R134a</c:v>
            </c:pt>
          </c:strCache>
        </c:strRef>
      </c:tx>
      <c:layout>
        <c:manualLayout>
          <c:xMode val="edge"/>
          <c:yMode val="edge"/>
          <c:x val="0.5953757178640664"/>
          <c:y val="3.166254862486028E-2"/>
        </c:manualLayout>
      </c:layout>
      <c:overlay val="0"/>
      <c:txPr>
        <a:bodyPr/>
        <a:lstStyle/>
        <a:p>
          <a:pPr>
            <a:defRPr/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6342903025146918"/>
          <c:y val="0.15450056588502195"/>
          <c:w val="0.76709508450506769"/>
          <c:h val="0.68077534507025006"/>
        </c:manualLayout>
      </c:layout>
      <c:scatterChart>
        <c:scatterStyle val="lineMarker"/>
        <c:varyColors val="0"/>
        <c:ser>
          <c:idx val="0"/>
          <c:order val="0"/>
          <c:tx>
            <c:v>Sat.-liquid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Heat_Pump!$H$9:$H$49</c:f>
              <c:numCache>
                <c:formatCode>0.000</c:formatCode>
                <c:ptCount val="41"/>
                <c:pt idx="0">
                  <c:v>160.79197795299146</c:v>
                </c:pt>
                <c:pt idx="1">
                  <c:v>173.63574380724836</c:v>
                </c:pt>
                <c:pt idx="2">
                  <c:v>186.69659112921045</c:v>
                </c:pt>
                <c:pt idx="3">
                  <c:v>199.99998852614488</c:v>
                </c:pt>
                <c:pt idx="4">
                  <c:v>213.57723713968767</c:v>
                </c:pt>
                <c:pt idx="5">
                  <c:v>227.4677311704481</c:v>
                </c:pt>
                <c:pt idx="6">
                  <c:v>241.72239230865415</c:v>
                </c:pt>
                <c:pt idx="7">
                  <c:v>256.40924455736837</c:v>
                </c:pt>
                <c:pt idx="8">
                  <c:v>271.62315767623505</c:v>
                </c:pt>
                <c:pt idx="9">
                  <c:v>287.50469453813434</c:v>
                </c:pt>
                <c:pt idx="10">
                  <c:v>304.28239699810268</c:v>
                </c:pt>
                <c:pt idx="11">
                  <c:v>322.39024697004157</c:v>
                </c:pt>
                <c:pt idx="12">
                  <c:v>342.92817891708268</c:v>
                </c:pt>
                <c:pt idx="13">
                  <c:v>373.30415759174042</c:v>
                </c:pt>
                <c:pt idx="14">
                  <c:v>389.63886644058454</c:v>
                </c:pt>
                <c:pt idx="15">
                  <c:v>389.63886644058454</c:v>
                </c:pt>
                <c:pt idx="16">
                  <c:v>389.63886644058454</c:v>
                </c:pt>
                <c:pt idx="17">
                  <c:v>389.63886644058454</c:v>
                </c:pt>
                <c:pt idx="18">
                  <c:v>389.63886644058454</c:v>
                </c:pt>
                <c:pt idx="19">
                  <c:v>389.63886644058454</c:v>
                </c:pt>
                <c:pt idx="20">
                  <c:v>389.63886644058454</c:v>
                </c:pt>
                <c:pt idx="21">
                  <c:v>389.63886644058454</c:v>
                </c:pt>
                <c:pt idx="22">
                  <c:v>389.63886644058454</c:v>
                </c:pt>
                <c:pt idx="23">
                  <c:v>389.63886644058454</c:v>
                </c:pt>
                <c:pt idx="24">
                  <c:v>389.63886644058454</c:v>
                </c:pt>
                <c:pt idx="25">
                  <c:v>389.63886644058454</c:v>
                </c:pt>
                <c:pt idx="26">
                  <c:v>389.63886644058454</c:v>
                </c:pt>
                <c:pt idx="27">
                  <c:v>389.63886644058454</c:v>
                </c:pt>
                <c:pt idx="28">
                  <c:v>389.63886644058454</c:v>
                </c:pt>
                <c:pt idx="29">
                  <c:v>389.63886644058454</c:v>
                </c:pt>
                <c:pt idx="30">
                  <c:v>389.63886644058454</c:v>
                </c:pt>
                <c:pt idx="31">
                  <c:v>389.63886644058454</c:v>
                </c:pt>
                <c:pt idx="32">
                  <c:v>389.63886644058454</c:v>
                </c:pt>
                <c:pt idx="33">
                  <c:v>389.63886644058454</c:v>
                </c:pt>
                <c:pt idx="34">
                  <c:v>389.63886644058454</c:v>
                </c:pt>
                <c:pt idx="35">
                  <c:v>389.63886644058454</c:v>
                </c:pt>
                <c:pt idx="36">
                  <c:v>389.63886644058454</c:v>
                </c:pt>
                <c:pt idx="37">
                  <c:v>389.63886644058454</c:v>
                </c:pt>
                <c:pt idx="38">
                  <c:v>389.63886644058454</c:v>
                </c:pt>
                <c:pt idx="39">
                  <c:v>389.63886644058454</c:v>
                </c:pt>
                <c:pt idx="40">
                  <c:v>389.63886644058454</c:v>
                </c:pt>
              </c:numCache>
            </c:numRef>
          </c:xVal>
          <c:yVal>
            <c:numRef>
              <c:f>Heat_Pump!$D$9:$D$49</c:f>
              <c:numCache>
                <c:formatCode>0.00</c:formatCode>
                <c:ptCount val="41"/>
                <c:pt idx="0">
                  <c:v>-30</c:v>
                </c:pt>
                <c:pt idx="1">
                  <c:v>-20</c:v>
                </c:pt>
                <c:pt idx="2">
                  <c:v>-10</c:v>
                </c:pt>
                <c:pt idx="3">
                  <c:v>0</c:v>
                </c:pt>
                <c:pt idx="4">
                  <c:v>10</c:v>
                </c:pt>
                <c:pt idx="5">
                  <c:v>20</c:v>
                </c:pt>
                <c:pt idx="6">
                  <c:v>30</c:v>
                </c:pt>
                <c:pt idx="7">
                  <c:v>40</c:v>
                </c:pt>
                <c:pt idx="8">
                  <c:v>50</c:v>
                </c:pt>
                <c:pt idx="9">
                  <c:v>60</c:v>
                </c:pt>
                <c:pt idx="10">
                  <c:v>70</c:v>
                </c:pt>
                <c:pt idx="11">
                  <c:v>80</c:v>
                </c:pt>
                <c:pt idx="12">
                  <c:v>90</c:v>
                </c:pt>
                <c:pt idx="13">
                  <c:v>100</c:v>
                </c:pt>
                <c:pt idx="14">
                  <c:v>101.06</c:v>
                </c:pt>
                <c:pt idx="15">
                  <c:v>101.06</c:v>
                </c:pt>
                <c:pt idx="16">
                  <c:v>101.06</c:v>
                </c:pt>
                <c:pt idx="17">
                  <c:v>101.06</c:v>
                </c:pt>
                <c:pt idx="18">
                  <c:v>101.06</c:v>
                </c:pt>
                <c:pt idx="19">
                  <c:v>101.06</c:v>
                </c:pt>
                <c:pt idx="20">
                  <c:v>101.06</c:v>
                </c:pt>
                <c:pt idx="21">
                  <c:v>101.06</c:v>
                </c:pt>
                <c:pt idx="22">
                  <c:v>101.06</c:v>
                </c:pt>
                <c:pt idx="23">
                  <c:v>101.06</c:v>
                </c:pt>
                <c:pt idx="24">
                  <c:v>101.06</c:v>
                </c:pt>
                <c:pt idx="25">
                  <c:v>101.06</c:v>
                </c:pt>
                <c:pt idx="26">
                  <c:v>101.06</c:v>
                </c:pt>
                <c:pt idx="27">
                  <c:v>101.06</c:v>
                </c:pt>
                <c:pt idx="28">
                  <c:v>101.06</c:v>
                </c:pt>
                <c:pt idx="29">
                  <c:v>101.06</c:v>
                </c:pt>
                <c:pt idx="30">
                  <c:v>101.06</c:v>
                </c:pt>
                <c:pt idx="31">
                  <c:v>101.06</c:v>
                </c:pt>
                <c:pt idx="32">
                  <c:v>101.06</c:v>
                </c:pt>
                <c:pt idx="33">
                  <c:v>101.06</c:v>
                </c:pt>
                <c:pt idx="34">
                  <c:v>101.06</c:v>
                </c:pt>
                <c:pt idx="35">
                  <c:v>101.06</c:v>
                </c:pt>
                <c:pt idx="36">
                  <c:v>101.06</c:v>
                </c:pt>
                <c:pt idx="37">
                  <c:v>101.06</c:v>
                </c:pt>
                <c:pt idx="38">
                  <c:v>101.06</c:v>
                </c:pt>
                <c:pt idx="39">
                  <c:v>101.06</c:v>
                </c:pt>
                <c:pt idx="40">
                  <c:v>101.06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D10-4E40-AB0F-897A16E287A6}"/>
            </c:ext>
          </c:extLst>
        </c:ser>
        <c:ser>
          <c:idx val="1"/>
          <c:order val="1"/>
          <c:tx>
            <c:v>Sat. vapor</c:v>
          </c:tx>
          <c:spPr>
            <a:ln w="25400">
              <a:solidFill>
                <a:srgbClr val="0070C0"/>
              </a:solidFill>
            </a:ln>
          </c:spPr>
          <c:marker>
            <c:symbol val="none"/>
          </c:marker>
          <c:xVal>
            <c:numRef>
              <c:f>Heat_Pump!$I$9:$I$49</c:f>
              <c:numCache>
                <c:formatCode>0.000</c:formatCode>
                <c:ptCount val="41"/>
                <c:pt idx="0">
                  <c:v>380.3185682060153</c:v>
                </c:pt>
                <c:pt idx="1">
                  <c:v>386.55426163130926</c:v>
                </c:pt>
                <c:pt idx="2">
                  <c:v>392.66491356786076</c:v>
                </c:pt>
                <c:pt idx="3">
                  <c:v>398.60345362765491</c:v>
                </c:pt>
                <c:pt idx="4">
                  <c:v>404.31811820731775</c:v>
                </c:pt>
                <c:pt idx="5">
                  <c:v>409.74832087882811</c:v>
                </c:pt>
                <c:pt idx="6">
                  <c:v>414.81851182791809</c:v>
                </c:pt>
                <c:pt idx="7">
                  <c:v>419.42852424669871</c:v>
                </c:pt>
                <c:pt idx="8">
                  <c:v>423.43699358719789</c:v>
                </c:pt>
                <c:pt idx="9">
                  <c:v>426.62963721191687</c:v>
                </c:pt>
                <c:pt idx="10">
                  <c:v>428.64978201608511</c:v>
                </c:pt>
                <c:pt idx="11">
                  <c:v>428.8135540301335</c:v>
                </c:pt>
                <c:pt idx="12">
                  <c:v>425.41558324557997</c:v>
                </c:pt>
                <c:pt idx="13">
                  <c:v>404.45940776519967</c:v>
                </c:pt>
                <c:pt idx="14">
                  <c:v>389.63886644058454</c:v>
                </c:pt>
                <c:pt idx="15">
                  <c:v>389.63886644058454</c:v>
                </c:pt>
                <c:pt idx="16">
                  <c:v>389.63886644058454</c:v>
                </c:pt>
                <c:pt idx="17">
                  <c:v>389.63886644058454</c:v>
                </c:pt>
                <c:pt idx="18">
                  <c:v>389.63886644058454</c:v>
                </c:pt>
                <c:pt idx="19">
                  <c:v>389.63886644058454</c:v>
                </c:pt>
                <c:pt idx="20">
                  <c:v>389.63886644058454</c:v>
                </c:pt>
                <c:pt idx="21">
                  <c:v>389.63886644058454</c:v>
                </c:pt>
                <c:pt idx="22">
                  <c:v>389.63886644058454</c:v>
                </c:pt>
                <c:pt idx="23">
                  <c:v>389.63886644058454</c:v>
                </c:pt>
                <c:pt idx="24">
                  <c:v>389.63886644058454</c:v>
                </c:pt>
                <c:pt idx="25">
                  <c:v>389.63886644058454</c:v>
                </c:pt>
                <c:pt idx="26">
                  <c:v>389.63886644058454</c:v>
                </c:pt>
                <c:pt idx="27">
                  <c:v>389.63886644058454</c:v>
                </c:pt>
                <c:pt idx="28">
                  <c:v>389.63886644058454</c:v>
                </c:pt>
                <c:pt idx="29">
                  <c:v>389.63886644058454</c:v>
                </c:pt>
                <c:pt idx="30">
                  <c:v>389.63886644058454</c:v>
                </c:pt>
                <c:pt idx="31">
                  <c:v>389.63886644058454</c:v>
                </c:pt>
                <c:pt idx="32">
                  <c:v>389.63886644058454</c:v>
                </c:pt>
                <c:pt idx="33">
                  <c:v>389.63886644058454</c:v>
                </c:pt>
                <c:pt idx="34">
                  <c:v>389.63886644058454</c:v>
                </c:pt>
                <c:pt idx="35">
                  <c:v>389.63886644058454</c:v>
                </c:pt>
                <c:pt idx="36">
                  <c:v>389.63886644058454</c:v>
                </c:pt>
                <c:pt idx="37">
                  <c:v>389.63886644058454</c:v>
                </c:pt>
                <c:pt idx="38">
                  <c:v>389.63886644058454</c:v>
                </c:pt>
                <c:pt idx="39">
                  <c:v>389.63886644058454</c:v>
                </c:pt>
                <c:pt idx="40">
                  <c:v>389.63886644058454</c:v>
                </c:pt>
              </c:numCache>
            </c:numRef>
          </c:xVal>
          <c:yVal>
            <c:numRef>
              <c:f>Heat_Pump!$D$9:$D$49</c:f>
              <c:numCache>
                <c:formatCode>0.00</c:formatCode>
                <c:ptCount val="41"/>
                <c:pt idx="0">
                  <c:v>-30</c:v>
                </c:pt>
                <c:pt idx="1">
                  <c:v>-20</c:v>
                </c:pt>
                <c:pt idx="2">
                  <c:v>-10</c:v>
                </c:pt>
                <c:pt idx="3">
                  <c:v>0</c:v>
                </c:pt>
                <c:pt idx="4">
                  <c:v>10</c:v>
                </c:pt>
                <c:pt idx="5">
                  <c:v>20</c:v>
                </c:pt>
                <c:pt idx="6">
                  <c:v>30</c:v>
                </c:pt>
                <c:pt idx="7">
                  <c:v>40</c:v>
                </c:pt>
                <c:pt idx="8">
                  <c:v>50</c:v>
                </c:pt>
                <c:pt idx="9">
                  <c:v>60</c:v>
                </c:pt>
                <c:pt idx="10">
                  <c:v>70</c:v>
                </c:pt>
                <c:pt idx="11">
                  <c:v>80</c:v>
                </c:pt>
                <c:pt idx="12">
                  <c:v>90</c:v>
                </c:pt>
                <c:pt idx="13">
                  <c:v>100</c:v>
                </c:pt>
                <c:pt idx="14">
                  <c:v>101.06</c:v>
                </c:pt>
                <c:pt idx="15">
                  <c:v>101.06</c:v>
                </c:pt>
                <c:pt idx="16">
                  <c:v>101.06</c:v>
                </c:pt>
                <c:pt idx="17">
                  <c:v>101.06</c:v>
                </c:pt>
                <c:pt idx="18">
                  <c:v>101.06</c:v>
                </c:pt>
                <c:pt idx="19">
                  <c:v>101.06</c:v>
                </c:pt>
                <c:pt idx="20">
                  <c:v>101.06</c:v>
                </c:pt>
                <c:pt idx="21">
                  <c:v>101.06</c:v>
                </c:pt>
                <c:pt idx="22">
                  <c:v>101.06</c:v>
                </c:pt>
                <c:pt idx="23">
                  <c:v>101.06</c:v>
                </c:pt>
                <c:pt idx="24">
                  <c:v>101.06</c:v>
                </c:pt>
                <c:pt idx="25">
                  <c:v>101.06</c:v>
                </c:pt>
                <c:pt idx="26">
                  <c:v>101.06</c:v>
                </c:pt>
                <c:pt idx="27">
                  <c:v>101.06</c:v>
                </c:pt>
                <c:pt idx="28">
                  <c:v>101.06</c:v>
                </c:pt>
                <c:pt idx="29">
                  <c:v>101.06</c:v>
                </c:pt>
                <c:pt idx="30">
                  <c:v>101.06</c:v>
                </c:pt>
                <c:pt idx="31">
                  <c:v>101.06</c:v>
                </c:pt>
                <c:pt idx="32">
                  <c:v>101.06</c:v>
                </c:pt>
                <c:pt idx="33">
                  <c:v>101.06</c:v>
                </c:pt>
                <c:pt idx="34">
                  <c:v>101.06</c:v>
                </c:pt>
                <c:pt idx="35">
                  <c:v>101.06</c:v>
                </c:pt>
                <c:pt idx="36">
                  <c:v>101.06</c:v>
                </c:pt>
                <c:pt idx="37">
                  <c:v>101.06</c:v>
                </c:pt>
                <c:pt idx="38">
                  <c:v>101.06</c:v>
                </c:pt>
                <c:pt idx="39">
                  <c:v>101.06</c:v>
                </c:pt>
                <c:pt idx="40">
                  <c:v>101.06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D10-4E40-AB0F-897A16E287A6}"/>
            </c:ext>
          </c:extLst>
        </c:ser>
        <c:ser>
          <c:idx val="2"/>
          <c:order val="2"/>
          <c:tx>
            <c:v>Refr. cycle</c:v>
          </c:tx>
          <c:marker>
            <c:symbol val="none"/>
          </c:marker>
          <c:dPt>
            <c:idx val="0"/>
            <c:bubble3D val="0"/>
            <c:spPr>
              <a:ln>
                <a:solidFill>
                  <a:schemeClr val="accent4">
                    <a:shade val="95000"/>
                    <a:satMod val="105000"/>
                    <a:alpha val="98000"/>
                  </a:schemeClr>
                </a:solidFill>
              </a:ln>
            </c:spPr>
            <c:extLst>
              <c:ext xmlns:c16="http://schemas.microsoft.com/office/drawing/2014/chart" uri="{C3380CC4-5D6E-409C-BE32-E72D297353CC}">
                <c16:uniqueId val="{00000006-4B6A-4B76-A85A-A3DCE4613EDF}"/>
              </c:ext>
            </c:extLst>
          </c:dPt>
          <c:dPt>
            <c:idx val="1"/>
            <c:bubble3D val="0"/>
            <c:spPr>
              <a:ln>
                <a:tailEnd type="triangle"/>
              </a:ln>
            </c:spPr>
            <c:extLst>
              <c:ext xmlns:c16="http://schemas.microsoft.com/office/drawing/2014/chart" uri="{C3380CC4-5D6E-409C-BE32-E72D297353CC}">
                <c16:uniqueId val="{00000002-BA40-47B9-BDB3-3D0BCB4CB279}"/>
              </c:ext>
            </c:extLst>
          </c:dPt>
          <c:dPt>
            <c:idx val="5"/>
            <c:bubble3D val="0"/>
            <c:spPr>
              <a:ln>
                <a:tailEnd type="triangle"/>
              </a:ln>
            </c:spPr>
            <c:extLst>
              <c:ext xmlns:c16="http://schemas.microsoft.com/office/drawing/2014/chart" uri="{C3380CC4-5D6E-409C-BE32-E72D297353CC}">
                <c16:uniqueId val="{00000003-BA40-47B9-BDB3-3D0BCB4CB279}"/>
              </c:ext>
            </c:extLst>
          </c:dPt>
          <c:dLbls>
            <c:dLbl>
              <c:idx val="0"/>
              <c:layout>
                <c:manualLayout>
                  <c:x val="-4.368987474022324E-2"/>
                  <c:y val="2.8728252307602026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1 </a:t>
                    </a:r>
                    <a:endParaRPr lang="en-U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4B6A-4B76-A85A-A3DCE4613EDF}"/>
                </c:ext>
              </c:extLst>
            </c:dLbl>
            <c:dLbl>
              <c:idx val="1"/>
              <c:layout>
                <c:manualLayout>
                  <c:x val="-7.1995079224087516E-2"/>
                  <c:y val="2.1192947969777012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2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BA40-47B9-BDB3-3D0BCB4CB279}"/>
                </c:ext>
              </c:extLst>
            </c:dLbl>
            <c:dLbl>
              <c:idx val="2"/>
              <c:layout>
                <c:manualLayout>
                  <c:x val="7.7187915582070015E-3"/>
                  <c:y val="7.1960788511967076E-3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200"/>
                    </a:pPr>
                    <a:r>
                      <a:rPr lang="en-US" sz="1200"/>
                      <a:t>3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4B6A-4B76-A85A-A3DCE4613EDF}"/>
                </c:ext>
              </c:extLst>
            </c:dLbl>
            <c:dLbl>
              <c:idx val="3"/>
              <c:layout>
                <c:manualLayout>
                  <c:x val="-1.2846122069314223E-2"/>
                  <c:y val="-3.5903536526618375E-3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200"/>
                    </a:pPr>
                    <a:r>
                      <a:rPr lang="en-US" sz="1200"/>
                      <a:t>4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8-4B6A-4B76-A85A-A3DCE4613EDF}"/>
                </c:ext>
              </c:extLst>
            </c:dLbl>
            <c:dLbl>
              <c:idx val="4"/>
              <c:layout>
                <c:manualLayout>
                  <c:x val="-3.3399917380216484E-2"/>
                  <c:y val="-3.5903536526618374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200"/>
                    </a:pPr>
                    <a:r>
                      <a:rPr lang="en-US" sz="1200"/>
                      <a:t>5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0349770570282856E-2"/>
                      <c:h val="5.4591468641229247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9-4B6A-4B76-A85A-A3DCE4613EDF}"/>
                </c:ext>
              </c:extLst>
            </c:dLbl>
            <c:dLbl>
              <c:idx val="5"/>
              <c:layout>
                <c:manualLayout>
                  <c:x val="-2.5690618354575086E-2"/>
                  <c:y val="-4.6629275855481059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200"/>
                    </a:pPr>
                    <a:r>
                      <a:rPr lang="en-US" sz="1200"/>
                      <a:t>6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BA40-47B9-BDB3-3D0BCB4CB279}"/>
                </c:ext>
              </c:extLst>
            </c:dLbl>
            <c:dLbl>
              <c:idx val="6"/>
              <c:layout>
                <c:manualLayout>
                  <c:x val="-6.4253695852348136E-2"/>
                  <c:y val="-3.5801413225550124E-3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200"/>
                    </a:pPr>
                    <a:r>
                      <a:rPr lang="en-US" sz="1200"/>
                      <a:t>7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A-4B6A-4B76-A85A-A3DCE4613ED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/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</c15:spPr>
                <c15:showLeaderLines val="1"/>
              </c:ext>
            </c:extLst>
          </c:dLbls>
          <c:xVal>
            <c:numRef>
              <c:f>Heat_Pump!$U$35:$AB$35</c:f>
              <c:numCache>
                <c:formatCode>0</c:formatCode>
                <c:ptCount val="8"/>
                <c:pt idx="0">
                  <c:v>248.9722964659924</c:v>
                </c:pt>
                <c:pt idx="1">
                  <c:v>398.01876691710817</c:v>
                </c:pt>
                <c:pt idx="2">
                  <c:v>402.46428084484779</c:v>
                </c:pt>
                <c:pt idx="3">
                  <c:v>435.2298539348879</c:v>
                </c:pt>
                <c:pt idx="4">
                  <c:v>418.54933846969544</c:v>
                </c:pt>
                <c:pt idx="5">
                  <c:v>253.4332437597551</c:v>
                </c:pt>
                <c:pt idx="6">
                  <c:v>248.9722964659924</c:v>
                </c:pt>
                <c:pt idx="7" formatCode="0.0">
                  <c:v>248.9722964659924</c:v>
                </c:pt>
              </c:numCache>
            </c:numRef>
          </c:xVal>
          <c:yVal>
            <c:numRef>
              <c:f>Heat_Pump!$U$33:$AB$33</c:f>
              <c:numCache>
                <c:formatCode>0.0</c:formatCode>
                <c:ptCount val="8"/>
                <c:pt idx="0">
                  <c:v>-1</c:v>
                </c:pt>
                <c:pt idx="1">
                  <c:v>-1</c:v>
                </c:pt>
                <c:pt idx="2">
                  <c:v>4</c:v>
                </c:pt>
                <c:pt idx="3">
                  <c:v>53.378009276034788</c:v>
                </c:pt>
                <c:pt idx="4">
                  <c:v>38</c:v>
                </c:pt>
                <c:pt idx="5">
                  <c:v>38</c:v>
                </c:pt>
                <c:pt idx="6">
                  <c:v>35</c:v>
                </c:pt>
                <c:pt idx="7">
                  <c:v>-1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315-4C26-8CDC-B90C48B4E996}"/>
            </c:ext>
          </c:extLst>
        </c:ser>
        <c:ser>
          <c:idx val="3"/>
          <c:order val="3"/>
          <c:tx>
            <c:v>Heat source</c:v>
          </c:tx>
          <c:spPr>
            <a:ln>
              <a:headEnd type="triangle"/>
            </a:ln>
          </c:spPr>
          <c:marker>
            <c:symbol val="none"/>
          </c:marker>
          <c:dLbls>
            <c:dLbl>
              <c:idx val="1"/>
              <c:layout>
                <c:manualLayout>
                  <c:x val="1.4144176105460574E-2"/>
                  <c:y val="-3.9385465944166254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source_in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3389517734471304"/>
                      <c:h val="5.440205185301214E-2"/>
                    </c:manualLayout>
                  </c15:layout>
                  <c15:showDataLabelsRange val="0"/>
                </c:ext>
                <c:ext xmlns:c16="http://schemas.microsoft.com/office/drawing/2014/chart" uri="{C3380CC4-5D6E-409C-BE32-E72D297353CC}">
                  <c16:uniqueId val="{00000009-6A59-4EEB-ABAE-F07D61968D2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Heat_Pump!$U$39:$V$39</c:f>
              <c:numCache>
                <c:formatCode>0</c:formatCode>
                <c:ptCount val="2"/>
                <c:pt idx="0">
                  <c:v>248.9722964659924</c:v>
                </c:pt>
                <c:pt idx="1">
                  <c:v>402.46428084484779</c:v>
                </c:pt>
              </c:numCache>
            </c:numRef>
          </c:xVal>
          <c:yVal>
            <c:numRef>
              <c:f>Heat_Pump!$U$38:$V$38</c:f>
              <c:numCache>
                <c:formatCode>General</c:formatCode>
                <c:ptCount val="2"/>
                <c:pt idx="0">
                  <c:v>2</c:v>
                </c:pt>
                <c:pt idx="1">
                  <c:v>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315-4C26-8CDC-B90C48B4E996}"/>
            </c:ext>
          </c:extLst>
        </c:ser>
        <c:ser>
          <c:idx val="4"/>
          <c:order val="4"/>
          <c:tx>
            <c:v>Heat sink</c:v>
          </c:tx>
          <c:spPr>
            <a:ln>
              <a:headEnd type="triangle"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3.6005068382895647E-2"/>
                  <c:y val="5.0090491461713231E-2"/>
                </c:manualLayout>
              </c:layout>
              <c:tx>
                <c:rich>
                  <a:bodyPr wrap="square" lIns="38100" tIns="19050" rIns="38100" bIns="19050" anchor="ctr" anchorCtr="0">
                    <a:spAutoFit/>
                  </a:bodyPr>
                  <a:lstStyle/>
                  <a:p>
                    <a:pPr marL="0" marR="0" lvl="0" indent="0" algn="ctr" defTabSz="914400" rtl="0" eaLnBrk="1" fontAlgn="auto" latinLnBrk="0" hangingPunct="1">
                      <a:lnSpc>
                        <a:spcPct val="100000"/>
                      </a:lnSpc>
                      <a:spcBef>
                        <a:spcPts val="0"/>
                      </a:spcBef>
                      <a:spcAft>
                        <a:spcPts val="0"/>
                      </a:spcAft>
                      <a:buClrTx/>
                      <a:buSzTx/>
                      <a:buFontTx/>
                      <a:buNone/>
                      <a:tabLst/>
                      <a:defRPr sz="10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000" b="0" i="0" u="none" strike="noStrike" kern="1200" baseline="0">
                        <a:solidFill>
                          <a:sysClr val="windowText" lastClr="000000"/>
                        </a:solidFill>
                      </a:rPr>
                      <a:t>sink_out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7-6A59-4EEB-ABAE-F07D61968D2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A59-4EEB-ABAE-F07D61968D2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Heat_Pump!$U$41:$V$41</c:f>
              <c:numCache>
                <c:formatCode>0.0</c:formatCode>
                <c:ptCount val="2"/>
                <c:pt idx="0" formatCode="0">
                  <c:v>435.2298539348879</c:v>
                </c:pt>
                <c:pt idx="1">
                  <c:v>248.9722964659924</c:v>
                </c:pt>
              </c:numCache>
            </c:numRef>
          </c:xVal>
          <c:yVal>
            <c:numRef>
              <c:f>Heat_Pump!$U$40:$V$40</c:f>
              <c:numCache>
                <c:formatCode>General</c:formatCode>
                <c:ptCount val="2"/>
                <c:pt idx="0">
                  <c:v>35</c:v>
                </c:pt>
                <c:pt idx="1">
                  <c:v>30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315-4C26-8CDC-B90C48B4E9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8211264"/>
        <c:axId val="268211840"/>
      </c:scatterChart>
      <c:valAx>
        <c:axId val="268211264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Enthalpy [kJ/kg]</a:t>
                </a:r>
              </a:p>
            </c:rich>
          </c:tx>
          <c:layout>
            <c:manualLayout>
              <c:xMode val="edge"/>
              <c:yMode val="edge"/>
              <c:x val="0.41269390056525279"/>
              <c:y val="0.90780032774055519"/>
            </c:manualLayout>
          </c:layout>
          <c:overlay val="0"/>
        </c:title>
        <c:numFmt formatCode="0" sourceLinked="0"/>
        <c:majorTickMark val="none"/>
        <c:minorTickMark val="none"/>
        <c:tickLblPos val="nextTo"/>
        <c:crossAx val="268211840"/>
        <c:crossesAt val="-40"/>
        <c:crossBetween val="midCat"/>
      </c:valAx>
      <c:valAx>
        <c:axId val="2682118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Temperature [°C]</a:t>
                </a:r>
              </a:p>
            </c:rich>
          </c:tx>
          <c:layout>
            <c:manualLayout>
              <c:xMode val="edge"/>
              <c:yMode val="edge"/>
              <c:x val="2.3584830881309814E-2"/>
              <c:y val="0.33165418985599121"/>
            </c:manualLayout>
          </c:layout>
          <c:overlay val="0"/>
        </c:title>
        <c:numFmt formatCode="0.0" sourceLinked="0"/>
        <c:majorTickMark val="none"/>
        <c:minorTickMark val="none"/>
        <c:tickLblPos val="nextTo"/>
        <c:crossAx val="268211264"/>
        <c:crosses val="autoZero"/>
        <c:crossBetween val="midCat"/>
      </c:valAx>
      <c:spPr>
        <a:solidFill>
          <a:schemeClr val="bg1"/>
        </a:solidFill>
      </c:spPr>
    </c:plotArea>
    <c:legend>
      <c:legendPos val="r"/>
      <c:layout>
        <c:manualLayout>
          <c:xMode val="edge"/>
          <c:yMode val="edge"/>
          <c:x val="0.22466524807558461"/>
          <c:y val="0.19485661279007863"/>
          <c:w val="0.19244154284522011"/>
          <c:h val="0.22530178396763584"/>
        </c:manualLayout>
      </c:layout>
      <c:overlay val="0"/>
      <c:spPr>
        <a:solidFill>
          <a:schemeClr val="bg1"/>
        </a:solidFill>
        <a:ln w="19050"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Pressure</a:t>
            </a:r>
            <a:r>
              <a:rPr lang="en-US" baseline="0"/>
              <a:t>-Enthalpy Plot for Water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1511351706036747"/>
          <c:y val="0.1798186284406757"/>
          <c:w val="0.72316338582677164"/>
          <c:h val="0.6120546470152769"/>
        </c:manualLayout>
      </c:layout>
      <c:scatterChart>
        <c:scatterStyle val="lineMarker"/>
        <c:varyColors val="0"/>
        <c:ser>
          <c:idx val="0"/>
          <c:order val="0"/>
          <c:tx>
            <c:v>Sat. Liquid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'Water saturation table'!$G$7:$G$45</c:f>
              <c:numCache>
                <c:formatCode>0.000000</c:formatCode>
                <c:ptCount val="39"/>
                <c:pt idx="0">
                  <c:v>6.1220360638336406E-4</c:v>
                </c:pt>
                <c:pt idx="1">
                  <c:v>42.021255884836407</c:v>
                </c:pt>
                <c:pt idx="2">
                  <c:v>83.914144952818091</c:v>
                </c:pt>
                <c:pt idx="3">
                  <c:v>125.73397341919228</c:v>
                </c:pt>
                <c:pt idx="4">
                  <c:v>167.53303558717388</c:v>
                </c:pt>
                <c:pt idx="5">
                  <c:v>209.34176132667645</c:v>
                </c:pt>
                <c:pt idx="6">
                  <c:v>251.18035191397209</c:v>
                </c:pt>
                <c:pt idx="7">
                  <c:v>293.06519282229465</c:v>
                </c:pt>
                <c:pt idx="8">
                  <c:v>335.01235325255703</c:v>
                </c:pt>
                <c:pt idx="9">
                  <c:v>377.03938647775328</c:v>
                </c:pt>
                <c:pt idx="10">
                  <c:v>419.16616289288692</c:v>
                </c:pt>
                <c:pt idx="11">
                  <c:v>461.41518953432035</c:v>
                </c:pt>
                <c:pt idx="12">
                  <c:v>503.81169242146495</c:v>
                </c:pt>
                <c:pt idx="13">
                  <c:v>546.38362438115507</c:v>
                </c:pt>
                <c:pt idx="14">
                  <c:v>589.16169048823315</c:v>
                </c:pt>
                <c:pt idx="15">
                  <c:v>632.17944178057064</c:v>
                </c:pt>
                <c:pt idx="16">
                  <c:v>675.47346558322977</c:v>
                </c:pt>
                <c:pt idx="17">
                  <c:v>719.0836909629528</c:v>
                </c:pt>
                <c:pt idx="18">
                  <c:v>763.05382639583058</c:v>
                </c:pt>
                <c:pt idx="19">
                  <c:v>807.43195145024936</c:v>
                </c:pt>
                <c:pt idx="20">
                  <c:v>852.27129446018341</c:v>
                </c:pt>
                <c:pt idx="21">
                  <c:v>897.63124444416496</c:v>
                </c:pt>
                <c:pt idx="22">
                  <c:v>943.57867004224283</c:v>
                </c:pt>
                <c:pt idx="23">
                  <c:v>990.18965507747521</c:v>
                </c:pt>
                <c:pt idx="24">
                  <c:v>1037.5518165790288</c:v>
                </c:pt>
                <c:pt idx="25">
                  <c:v>1085.7674588110478</c:v>
                </c:pt>
                <c:pt idx="26">
                  <c:v>1134.9579569891282</c:v>
                </c:pt>
                <c:pt idx="27">
                  <c:v>1185.2699943566131</c:v>
                </c:pt>
                <c:pt idx="28">
                  <c:v>1236.8846659592693</c:v>
                </c:pt>
                <c:pt idx="29">
                  <c:v>1290.0311497479663</c:v>
                </c:pt>
                <c:pt idx="30">
                  <c:v>1345.0079264161152</c:v>
                </c:pt>
                <c:pt idx="31">
                  <c:v>1402.217126000967</c:v>
                </c:pt>
                <c:pt idx="32">
                  <c:v>1462.2236463970949</c:v>
                </c:pt>
                <c:pt idx="33">
                  <c:v>1525.8683270550703</c:v>
                </c:pt>
                <c:pt idx="34">
                  <c:v>1594.5289922362922</c:v>
                </c:pt>
                <c:pt idx="35">
                  <c:v>1670.8899067278071</c:v>
                </c:pt>
                <c:pt idx="36">
                  <c:v>1761.6646205355491</c:v>
                </c:pt>
                <c:pt idx="37">
                  <c:v>1890.6872488661711</c:v>
                </c:pt>
                <c:pt idx="38">
                  <c:v>2084.2562559079452</c:v>
                </c:pt>
              </c:numCache>
            </c:numRef>
          </c:xVal>
          <c:yVal>
            <c:numRef>
              <c:f>'Water saturation table'!$D$7:$D$45</c:f>
              <c:numCache>
                <c:formatCode>0.000000</c:formatCode>
                <c:ptCount val="39"/>
                <c:pt idx="0">
                  <c:v>0.61165472507254326</c:v>
                </c:pt>
                <c:pt idx="1">
                  <c:v>1.2281989186903675</c:v>
                </c:pt>
                <c:pt idx="2">
                  <c:v>2.3393181882699037</c:v>
                </c:pt>
                <c:pt idx="3">
                  <c:v>4.246970839891719</c:v>
                </c:pt>
                <c:pt idx="4">
                  <c:v>7.3849380448820821</c:v>
                </c:pt>
                <c:pt idx="5">
                  <c:v>12.351945832682558</c:v>
                </c:pt>
                <c:pt idx="6">
                  <c:v>19.946434310682807</c:v>
                </c:pt>
                <c:pt idx="7">
                  <c:v>31.200930025108303</c:v>
                </c:pt>
                <c:pt idx="8">
                  <c:v>47.414474028971249</c:v>
                </c:pt>
                <c:pt idx="9">
                  <c:v>70.181765812287622</c:v>
                </c:pt>
                <c:pt idx="10">
                  <c:v>101.41799665682765</c:v>
                </c:pt>
                <c:pt idx="11">
                  <c:v>143.37871294487454</c:v>
                </c:pt>
                <c:pt idx="12">
                  <c:v>198.67442047541007</c:v>
                </c:pt>
                <c:pt idx="13">
                  <c:v>270.27997679068989</c:v>
                </c:pt>
                <c:pt idx="14">
                  <c:v>361.53909939878633</c:v>
                </c:pt>
                <c:pt idx="15">
                  <c:v>476.16453796900316</c:v>
                </c:pt>
                <c:pt idx="16">
                  <c:v>618.23462142924154</c:v>
                </c:pt>
                <c:pt idx="17">
                  <c:v>792.18700698009991</c:v>
                </c:pt>
                <c:pt idx="18">
                  <c:v>1002.8105360799185</c:v>
                </c:pt>
                <c:pt idx="19">
                  <c:v>1255.236155158148</c:v>
                </c:pt>
                <c:pt idx="20">
                  <c:v>1554.9279004687048</c:v>
                </c:pt>
                <c:pt idx="21">
                  <c:v>1907.674993532605</c:v>
                </c:pt>
                <c:pt idx="22">
                  <c:v>2319.5861702585194</c:v>
                </c:pt>
                <c:pt idx="23">
                  <c:v>2797.087496929787</c:v>
                </c:pt>
                <c:pt idx="24">
                  <c:v>3346.9251442702057</c:v>
                </c:pt>
                <c:pt idx="25">
                  <c:v>3976.1749306515494</c:v>
                </c:pt>
                <c:pt idx="26">
                  <c:v>4692.260992299739</c:v>
                </c:pt>
                <c:pt idx="27">
                  <c:v>5502.9867830140456</c:v>
                </c:pt>
                <c:pt idx="28">
                  <c:v>6416.5829095319377</c:v>
                </c:pt>
                <c:pt idx="29">
                  <c:v>7441.7783444204633</c:v>
                </c:pt>
                <c:pt idx="30">
                  <c:v>8587.9049408359151</c:v>
                </c:pt>
                <c:pt idx="31">
                  <c:v>9865.051211181737</c:v>
                </c:pt>
                <c:pt idx="32">
                  <c:v>11284.292927464585</c:v>
                </c:pt>
                <c:pt idx="33">
                  <c:v>12858.051600204721</c:v>
                </c:pt>
                <c:pt idx="34">
                  <c:v>14600.677372002101</c:v>
                </c:pt>
                <c:pt idx="35">
                  <c:v>16529.415139050998</c:v>
                </c:pt>
                <c:pt idx="36">
                  <c:v>18666.006646276288</c:v>
                </c:pt>
                <c:pt idx="37">
                  <c:v>21043.563147465786</c:v>
                </c:pt>
                <c:pt idx="38">
                  <c:v>22064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75F-498C-BF29-0884D82DF471}"/>
            </c:ext>
          </c:extLst>
        </c:ser>
        <c:ser>
          <c:idx val="1"/>
          <c:order val="1"/>
          <c:tx>
            <c:v>Sat. Vapor</c:v>
          </c:tx>
          <c:spPr>
            <a:ln w="25400">
              <a:solidFill>
                <a:srgbClr val="0070C0"/>
              </a:solidFill>
            </a:ln>
          </c:spPr>
          <c:marker>
            <c:symbol val="none"/>
          </c:marker>
          <c:xVal>
            <c:numRef>
              <c:f>'Water saturation table'!$H$7:$H$45</c:f>
              <c:numCache>
                <c:formatCode>0.000000</c:formatCode>
                <c:ptCount val="39"/>
                <c:pt idx="0">
                  <c:v>2500.9151916490414</c:v>
                </c:pt>
                <c:pt idx="1">
                  <c:v>2519.2083189072159</c:v>
                </c:pt>
                <c:pt idx="2">
                  <c:v>2537.433404372583</c:v>
                </c:pt>
                <c:pt idx="3">
                  <c:v>2555.5452032947651</c:v>
                </c:pt>
                <c:pt idx="4">
                  <c:v>2573.5103223740025</c:v>
                </c:pt>
                <c:pt idx="5">
                  <c:v>2591.288887867202</c:v>
                </c:pt>
                <c:pt idx="6">
                  <c:v>2608.8348722177275</c:v>
                </c:pt>
                <c:pt idx="7">
                  <c:v>2626.0964008315309</c:v>
                </c:pt>
                <c:pt idx="8">
                  <c:v>2643.0158813452144</c:v>
                </c:pt>
                <c:pt idx="9">
                  <c:v>2659.5300141957373</c:v>
                </c:pt>
                <c:pt idx="10">
                  <c:v>2675.5698844194585</c:v>
                </c:pt>
                <c:pt idx="11">
                  <c:v>2691.0613426859568</c:v>
                </c:pt>
                <c:pt idx="12">
                  <c:v>2705.925765793183</c:v>
                </c:pt>
                <c:pt idx="13">
                  <c:v>2720.0811051450492</c:v>
                </c:pt>
                <c:pt idx="14">
                  <c:v>2733.4429731737537</c:v>
                </c:pt>
                <c:pt idx="15">
                  <c:v>2745.9254514300696</c:v>
                </c:pt>
                <c:pt idx="16">
                  <c:v>2757.4413489920958</c:v>
                </c:pt>
                <c:pt idx="17">
                  <c:v>2767.9017622614256</c:v>
                </c:pt>
                <c:pt idx="18">
                  <c:v>2777.2149260215888</c:v>
                </c:pt>
                <c:pt idx="19">
                  <c:v>2785.2844447620296</c:v>
                </c:pt>
                <c:pt idx="20">
                  <c:v>2792.0070226267235</c:v>
                </c:pt>
                <c:pt idx="21">
                  <c:v>2797.2697683428009</c:v>
                </c:pt>
                <c:pt idx="22">
                  <c:v>2800.9470527725607</c:v>
                </c:pt>
                <c:pt idx="23">
                  <c:v>2802.8967584010438</c:v>
                </c:pt>
                <c:pt idx="24">
                  <c:v>2802.9556046252342</c:v>
                </c:pt>
                <c:pt idx="25">
                  <c:v>2800.9330729758303</c:v>
                </c:pt>
                <c:pt idx="26">
                  <c:v>2796.6032203853524</c:v>
                </c:pt>
                <c:pt idx="27">
                  <c:v>2789.6932193000089</c:v>
                </c:pt>
                <c:pt idx="28">
                  <c:v>2779.8667305294525</c:v>
                </c:pt>
                <c:pt idx="29">
                  <c:v>2766.6990506391348</c:v>
                </c:pt>
                <c:pt idx="30">
                  <c:v>2749.6387614002551</c:v>
                </c:pt>
                <c:pt idx="31">
                  <c:v>2727.9458789653854</c:v>
                </c:pt>
                <c:pt idx="32">
                  <c:v>2700.5857692409318</c:v>
                </c:pt>
                <c:pt idx="33">
                  <c:v>2666.0311405571597</c:v>
                </c:pt>
                <c:pt idx="34">
                  <c:v>2621.8455755251803</c:v>
                </c:pt>
                <c:pt idx="35">
                  <c:v>2563.6367109445755</c:v>
                </c:pt>
                <c:pt idx="36">
                  <c:v>2481.492483335971</c:v>
                </c:pt>
                <c:pt idx="37">
                  <c:v>2334.5182916068734</c:v>
                </c:pt>
                <c:pt idx="38">
                  <c:v>2084.2562559079452</c:v>
                </c:pt>
              </c:numCache>
            </c:numRef>
          </c:xVal>
          <c:yVal>
            <c:numRef>
              <c:f>'Water saturation table'!$D$7:$D$45</c:f>
              <c:numCache>
                <c:formatCode>0.000000</c:formatCode>
                <c:ptCount val="39"/>
                <c:pt idx="0">
                  <c:v>0.61165472507254326</c:v>
                </c:pt>
                <c:pt idx="1">
                  <c:v>1.2281989186903675</c:v>
                </c:pt>
                <c:pt idx="2">
                  <c:v>2.3393181882699037</c:v>
                </c:pt>
                <c:pt idx="3">
                  <c:v>4.246970839891719</c:v>
                </c:pt>
                <c:pt idx="4">
                  <c:v>7.3849380448820821</c:v>
                </c:pt>
                <c:pt idx="5">
                  <c:v>12.351945832682558</c:v>
                </c:pt>
                <c:pt idx="6">
                  <c:v>19.946434310682807</c:v>
                </c:pt>
                <c:pt idx="7">
                  <c:v>31.200930025108303</c:v>
                </c:pt>
                <c:pt idx="8">
                  <c:v>47.414474028971249</c:v>
                </c:pt>
                <c:pt idx="9">
                  <c:v>70.181765812287622</c:v>
                </c:pt>
                <c:pt idx="10">
                  <c:v>101.41799665682765</c:v>
                </c:pt>
                <c:pt idx="11">
                  <c:v>143.37871294487454</c:v>
                </c:pt>
                <c:pt idx="12">
                  <c:v>198.67442047541007</c:v>
                </c:pt>
                <c:pt idx="13">
                  <c:v>270.27997679068989</c:v>
                </c:pt>
                <c:pt idx="14">
                  <c:v>361.53909939878633</c:v>
                </c:pt>
                <c:pt idx="15">
                  <c:v>476.16453796900316</c:v>
                </c:pt>
                <c:pt idx="16">
                  <c:v>618.23462142924154</c:v>
                </c:pt>
                <c:pt idx="17">
                  <c:v>792.18700698009991</c:v>
                </c:pt>
                <c:pt idx="18">
                  <c:v>1002.8105360799185</c:v>
                </c:pt>
                <c:pt idx="19">
                  <c:v>1255.236155158148</c:v>
                </c:pt>
                <c:pt idx="20">
                  <c:v>1554.9279004687048</c:v>
                </c:pt>
                <c:pt idx="21">
                  <c:v>1907.674993532605</c:v>
                </c:pt>
                <c:pt idx="22">
                  <c:v>2319.5861702585194</c:v>
                </c:pt>
                <c:pt idx="23">
                  <c:v>2797.087496929787</c:v>
                </c:pt>
                <c:pt idx="24">
                  <c:v>3346.9251442702057</c:v>
                </c:pt>
                <c:pt idx="25">
                  <c:v>3976.1749306515494</c:v>
                </c:pt>
                <c:pt idx="26">
                  <c:v>4692.260992299739</c:v>
                </c:pt>
                <c:pt idx="27">
                  <c:v>5502.9867830140456</c:v>
                </c:pt>
                <c:pt idx="28">
                  <c:v>6416.5829095319377</c:v>
                </c:pt>
                <c:pt idx="29">
                  <c:v>7441.7783444204633</c:v>
                </c:pt>
                <c:pt idx="30">
                  <c:v>8587.9049408359151</c:v>
                </c:pt>
                <c:pt idx="31">
                  <c:v>9865.051211181737</c:v>
                </c:pt>
                <c:pt idx="32">
                  <c:v>11284.292927464585</c:v>
                </c:pt>
                <c:pt idx="33">
                  <c:v>12858.051600204721</c:v>
                </c:pt>
                <c:pt idx="34">
                  <c:v>14600.677372002101</c:v>
                </c:pt>
                <c:pt idx="35">
                  <c:v>16529.415139050998</c:v>
                </c:pt>
                <c:pt idx="36">
                  <c:v>18666.006646276288</c:v>
                </c:pt>
                <c:pt idx="37">
                  <c:v>21043.563147465786</c:v>
                </c:pt>
                <c:pt idx="38">
                  <c:v>22064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75F-498C-BF29-0884D82DF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8211264"/>
        <c:axId val="268211840"/>
      </c:scatterChart>
      <c:valAx>
        <c:axId val="268211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Enthalpy [kJ/kg]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268211840"/>
        <c:crossesAt val="0.1"/>
        <c:crossBetween val="midCat"/>
      </c:valAx>
      <c:valAx>
        <c:axId val="268211840"/>
        <c:scaling>
          <c:logBase val="10"/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Pressure [kPa]</a:t>
                </a:r>
              </a:p>
            </c:rich>
          </c:tx>
          <c:overlay val="0"/>
        </c:title>
        <c:numFmt formatCode="0.0" sourceLinked="0"/>
        <c:majorTickMark val="none"/>
        <c:minorTickMark val="none"/>
        <c:tickLblPos val="nextTo"/>
        <c:crossAx val="26821126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33311023622047242"/>
          <c:y val="0.56155797832963195"/>
          <c:w val="0.2002230971128609"/>
          <c:h val="0.15455481526347667"/>
        </c:manualLayout>
      </c:layout>
      <c:overlay val="0"/>
      <c:spPr>
        <a:ln w="19050"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Pressure</a:t>
            </a:r>
            <a:r>
              <a:rPr lang="en-US" baseline="0"/>
              <a:t>-Density Plot for Water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1511351706036747"/>
          <c:y val="0.1798186284406757"/>
          <c:w val="0.72038560804899388"/>
          <c:h val="0.6120546470152769"/>
        </c:manualLayout>
      </c:layout>
      <c:scatterChart>
        <c:scatterStyle val="lineMarker"/>
        <c:varyColors val="0"/>
        <c:ser>
          <c:idx val="0"/>
          <c:order val="0"/>
          <c:tx>
            <c:v>Sat. Liquid</c:v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'Water saturation table'!$E$7:$E$45</c:f>
              <c:numCache>
                <c:formatCode>0.000000</c:formatCode>
                <c:ptCount val="39"/>
                <c:pt idx="0">
                  <c:v>999.79252003838542</c:v>
                </c:pt>
                <c:pt idx="1">
                  <c:v>999.65462464159714</c:v>
                </c:pt>
                <c:pt idx="2">
                  <c:v>998.16180134316232</c:v>
                </c:pt>
                <c:pt idx="3">
                  <c:v>995.60617747384913</c:v>
                </c:pt>
                <c:pt idx="4">
                  <c:v>992.17511534127698</c:v>
                </c:pt>
                <c:pt idx="5">
                  <c:v>987.99621061116898</c:v>
                </c:pt>
                <c:pt idx="6">
                  <c:v>983.16021717833348</c:v>
                </c:pt>
                <c:pt idx="7">
                  <c:v>977.73365598192891</c:v>
                </c:pt>
                <c:pt idx="8">
                  <c:v>971.76621871051327</c:v>
                </c:pt>
                <c:pt idx="9">
                  <c:v>965.29532855043556</c:v>
                </c:pt>
                <c:pt idx="10">
                  <c:v>958.34905160485675</c:v>
                </c:pt>
                <c:pt idx="11">
                  <c:v>950.9480035889602</c:v>
                </c:pt>
                <c:pt idx="12">
                  <c:v>943.10661743025275</c:v>
                </c:pt>
                <c:pt idx="13">
                  <c:v>934.83398660708178</c:v>
                </c:pt>
                <c:pt idx="14">
                  <c:v>926.13441329112368</c:v>
                </c:pt>
                <c:pt idx="15">
                  <c:v>917.00773926892646</c:v>
                </c:pt>
                <c:pt idx="16">
                  <c:v>907.44950563407667</c:v>
                </c:pt>
                <c:pt idx="17">
                  <c:v>897.45096587597152</c:v>
                </c:pt>
                <c:pt idx="18">
                  <c:v>886.99896128082264</c:v>
                </c:pt>
                <c:pt idx="19">
                  <c:v>876.07565429885494</c:v>
                </c:pt>
                <c:pt idx="20">
                  <c:v>864.65810228712621</c:v>
                </c:pt>
                <c:pt idx="21">
                  <c:v>852.71763851005767</c:v>
                </c:pt>
                <c:pt idx="22">
                  <c:v>840.21900675010772</c:v>
                </c:pt>
                <c:pt idx="23">
                  <c:v>827.11916655179982</c:v>
                </c:pt>
                <c:pt idx="24">
                  <c:v>813.36564216910097</c:v>
                </c:pt>
                <c:pt idx="25">
                  <c:v>798.89422022042197</c:v>
                </c:pt>
                <c:pt idx="26">
                  <c:v>783.62569286973451</c:v>
                </c:pt>
                <c:pt idx="27">
                  <c:v>767.46116679898012</c:v>
                </c:pt>
                <c:pt idx="28">
                  <c:v>750.2751612998818</c:v>
                </c:pt>
                <c:pt idx="29">
                  <c:v>731.90519964368571</c:v>
                </c:pt>
                <c:pt idx="30">
                  <c:v>712.13563881961761</c:v>
                </c:pt>
                <c:pt idx="31">
                  <c:v>690.671545609845</c:v>
                </c:pt>
                <c:pt idx="32">
                  <c:v>667.09384803259456</c:v>
                </c:pt>
                <c:pt idx="33">
                  <c:v>640.77321526639412</c:v>
                </c:pt>
                <c:pt idx="34">
                  <c:v>610.66759832540379</c:v>
                </c:pt>
                <c:pt idx="35">
                  <c:v>574.70651653764185</c:v>
                </c:pt>
                <c:pt idx="36">
                  <c:v>527.59162942229682</c:v>
                </c:pt>
                <c:pt idx="37">
                  <c:v>451.42564747531935</c:v>
                </c:pt>
                <c:pt idx="38">
                  <c:v>322.00000000000006</c:v>
                </c:pt>
              </c:numCache>
            </c:numRef>
          </c:xVal>
          <c:yVal>
            <c:numRef>
              <c:f>'Water saturation table'!$D$7:$D$45</c:f>
              <c:numCache>
                <c:formatCode>0.000000</c:formatCode>
                <c:ptCount val="39"/>
                <c:pt idx="0">
                  <c:v>0.61165472507254326</c:v>
                </c:pt>
                <c:pt idx="1">
                  <c:v>1.2281989186903675</c:v>
                </c:pt>
                <c:pt idx="2">
                  <c:v>2.3393181882699037</c:v>
                </c:pt>
                <c:pt idx="3">
                  <c:v>4.246970839891719</c:v>
                </c:pt>
                <c:pt idx="4">
                  <c:v>7.3849380448820821</c:v>
                </c:pt>
                <c:pt idx="5">
                  <c:v>12.351945832682558</c:v>
                </c:pt>
                <c:pt idx="6">
                  <c:v>19.946434310682807</c:v>
                </c:pt>
                <c:pt idx="7">
                  <c:v>31.200930025108303</c:v>
                </c:pt>
                <c:pt idx="8">
                  <c:v>47.414474028971249</c:v>
                </c:pt>
                <c:pt idx="9">
                  <c:v>70.181765812287622</c:v>
                </c:pt>
                <c:pt idx="10">
                  <c:v>101.41799665682765</c:v>
                </c:pt>
                <c:pt idx="11">
                  <c:v>143.37871294487454</c:v>
                </c:pt>
                <c:pt idx="12">
                  <c:v>198.67442047541007</c:v>
                </c:pt>
                <c:pt idx="13">
                  <c:v>270.27997679068989</c:v>
                </c:pt>
                <c:pt idx="14">
                  <c:v>361.53909939878633</c:v>
                </c:pt>
                <c:pt idx="15">
                  <c:v>476.16453796900316</c:v>
                </c:pt>
                <c:pt idx="16">
                  <c:v>618.23462142924154</c:v>
                </c:pt>
                <c:pt idx="17">
                  <c:v>792.18700698009991</c:v>
                </c:pt>
                <c:pt idx="18">
                  <c:v>1002.8105360799185</c:v>
                </c:pt>
                <c:pt idx="19">
                  <c:v>1255.236155158148</c:v>
                </c:pt>
                <c:pt idx="20">
                  <c:v>1554.9279004687048</c:v>
                </c:pt>
                <c:pt idx="21">
                  <c:v>1907.674993532605</c:v>
                </c:pt>
                <c:pt idx="22">
                  <c:v>2319.5861702585194</c:v>
                </c:pt>
                <c:pt idx="23">
                  <c:v>2797.087496929787</c:v>
                </c:pt>
                <c:pt idx="24">
                  <c:v>3346.9251442702057</c:v>
                </c:pt>
                <c:pt idx="25">
                  <c:v>3976.1749306515494</c:v>
                </c:pt>
                <c:pt idx="26">
                  <c:v>4692.260992299739</c:v>
                </c:pt>
                <c:pt idx="27">
                  <c:v>5502.9867830140456</c:v>
                </c:pt>
                <c:pt idx="28">
                  <c:v>6416.5829095319377</c:v>
                </c:pt>
                <c:pt idx="29">
                  <c:v>7441.7783444204633</c:v>
                </c:pt>
                <c:pt idx="30">
                  <c:v>8587.9049408359151</c:v>
                </c:pt>
                <c:pt idx="31">
                  <c:v>9865.051211181737</c:v>
                </c:pt>
                <c:pt idx="32">
                  <c:v>11284.292927464585</c:v>
                </c:pt>
                <c:pt idx="33">
                  <c:v>12858.051600204721</c:v>
                </c:pt>
                <c:pt idx="34">
                  <c:v>14600.677372002101</c:v>
                </c:pt>
                <c:pt idx="35">
                  <c:v>16529.415139050998</c:v>
                </c:pt>
                <c:pt idx="36">
                  <c:v>18666.006646276288</c:v>
                </c:pt>
                <c:pt idx="37">
                  <c:v>21043.563147465786</c:v>
                </c:pt>
                <c:pt idx="38">
                  <c:v>22064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49E-4AA0-9B02-6B428CC15733}"/>
            </c:ext>
          </c:extLst>
        </c:ser>
        <c:ser>
          <c:idx val="1"/>
          <c:order val="1"/>
          <c:tx>
            <c:v>Sat. Vapor</c:v>
          </c:tx>
          <c:spPr>
            <a:ln w="25400">
              <a:solidFill>
                <a:srgbClr val="0070C0"/>
              </a:solidFill>
            </a:ln>
          </c:spPr>
          <c:marker>
            <c:symbol val="none"/>
          </c:marker>
          <c:xVal>
            <c:numRef>
              <c:f>'Water saturation table'!$F$7:$F$45</c:f>
              <c:numCache>
                <c:formatCode>0.000000</c:formatCode>
                <c:ptCount val="39"/>
                <c:pt idx="0">
                  <c:v>4.8545757582902438E-3</c:v>
                </c:pt>
                <c:pt idx="1">
                  <c:v>9.4070520080231819E-3</c:v>
                </c:pt>
                <c:pt idx="2">
                  <c:v>1.7314008205457605E-2</c:v>
                </c:pt>
                <c:pt idx="3">
                  <c:v>3.0415211808982757E-2</c:v>
                </c:pt>
                <c:pt idx="4">
                  <c:v>5.124225580168873E-2</c:v>
                </c:pt>
                <c:pt idx="5">
                  <c:v>8.3146842800445958E-2</c:v>
                </c:pt>
                <c:pt idx="6">
                  <c:v>0.13042522259659892</c:v>
                </c:pt>
                <c:pt idx="7">
                  <c:v>0.1984307379418265</c:v>
                </c:pt>
                <c:pt idx="8">
                  <c:v>0.29367213474310316</c:v>
                </c:pt>
                <c:pt idx="9">
                  <c:v>0.4238979446321115</c:v>
                </c:pt>
                <c:pt idx="10">
                  <c:v>0.59816979192617503</c:v>
                </c:pt>
                <c:pt idx="11">
                  <c:v>0.82692959572358449</c:v>
                </c:pt>
                <c:pt idx="12">
                  <c:v>1.12206719176453</c:v>
                </c:pt>
                <c:pt idx="13">
                  <c:v>1.4969959714829069</c:v>
                </c:pt>
                <c:pt idx="14">
                  <c:v>1.966745004512632</c:v>
                </c:pt>
                <c:pt idx="15">
                  <c:v>2.5480771470967247</c:v>
                </c:pt>
                <c:pt idx="16">
                  <c:v>3.2596441977624062</c:v>
                </c:pt>
                <c:pt idx="17">
                  <c:v>4.1221925343385388</c:v>
                </c:pt>
                <c:pt idx="18">
                  <c:v>5.1588361289208073</c:v>
                </c:pt>
                <c:pt idx="19">
                  <c:v>6.3954187812093135</c:v>
                </c:pt>
                <c:pt idx="20">
                  <c:v>7.8609945167844684</c:v>
                </c:pt>
                <c:pt idx="21">
                  <c:v>9.5884655414268192</c:v>
                </c:pt>
                <c:pt idx="22">
                  <c:v>11.615432874295115</c:v>
                </c:pt>
                <c:pt idx="23">
                  <c:v>13.985338957508464</c:v>
                </c:pt>
                <c:pt idx="24">
                  <c:v>16.749019301603241</c:v>
                </c:pt>
                <c:pt idx="25">
                  <c:v>19.966840438464825</c:v>
                </c:pt>
                <c:pt idx="26">
                  <c:v>23.711700367712179</c:v>
                </c:pt>
                <c:pt idx="27">
                  <c:v>28.073335624424541</c:v>
                </c:pt>
                <c:pt idx="28">
                  <c:v>33.164674054045939</c:v>
                </c:pt>
                <c:pt idx="29">
                  <c:v>39.131512960158432</c:v>
                </c:pt>
                <c:pt idx="30">
                  <c:v>46.167849523793478</c:v>
                </c:pt>
                <c:pt idx="31">
                  <c:v>54.541361541638373</c:v>
                </c:pt>
                <c:pt idx="32">
                  <c:v>64.63843241988674</c:v>
                </c:pt>
                <c:pt idx="33">
                  <c:v>77.050425987314995</c:v>
                </c:pt>
                <c:pt idx="34">
                  <c:v>92.758782507417237</c:v>
                </c:pt>
                <c:pt idx="35">
                  <c:v>113.60561050162514</c:v>
                </c:pt>
                <c:pt idx="36">
                  <c:v>143.89841140848571</c:v>
                </c:pt>
                <c:pt idx="37">
                  <c:v>201.83931641742441</c:v>
                </c:pt>
                <c:pt idx="38">
                  <c:v>322.00000000000006</c:v>
                </c:pt>
              </c:numCache>
            </c:numRef>
          </c:xVal>
          <c:yVal>
            <c:numRef>
              <c:f>'Water saturation table'!$D$7:$D$45</c:f>
              <c:numCache>
                <c:formatCode>0.000000</c:formatCode>
                <c:ptCount val="39"/>
                <c:pt idx="0">
                  <c:v>0.61165472507254326</c:v>
                </c:pt>
                <c:pt idx="1">
                  <c:v>1.2281989186903675</c:v>
                </c:pt>
                <c:pt idx="2">
                  <c:v>2.3393181882699037</c:v>
                </c:pt>
                <c:pt idx="3">
                  <c:v>4.246970839891719</c:v>
                </c:pt>
                <c:pt idx="4">
                  <c:v>7.3849380448820821</c:v>
                </c:pt>
                <c:pt idx="5">
                  <c:v>12.351945832682558</c:v>
                </c:pt>
                <c:pt idx="6">
                  <c:v>19.946434310682807</c:v>
                </c:pt>
                <c:pt idx="7">
                  <c:v>31.200930025108303</c:v>
                </c:pt>
                <c:pt idx="8">
                  <c:v>47.414474028971249</c:v>
                </c:pt>
                <c:pt idx="9">
                  <c:v>70.181765812287622</c:v>
                </c:pt>
                <c:pt idx="10">
                  <c:v>101.41799665682765</c:v>
                </c:pt>
                <c:pt idx="11">
                  <c:v>143.37871294487454</c:v>
                </c:pt>
                <c:pt idx="12">
                  <c:v>198.67442047541007</c:v>
                </c:pt>
                <c:pt idx="13">
                  <c:v>270.27997679068989</c:v>
                </c:pt>
                <c:pt idx="14">
                  <c:v>361.53909939878633</c:v>
                </c:pt>
                <c:pt idx="15">
                  <c:v>476.16453796900316</c:v>
                </c:pt>
                <c:pt idx="16">
                  <c:v>618.23462142924154</c:v>
                </c:pt>
                <c:pt idx="17">
                  <c:v>792.18700698009991</c:v>
                </c:pt>
                <c:pt idx="18">
                  <c:v>1002.8105360799185</c:v>
                </c:pt>
                <c:pt idx="19">
                  <c:v>1255.236155158148</c:v>
                </c:pt>
                <c:pt idx="20">
                  <c:v>1554.9279004687048</c:v>
                </c:pt>
                <c:pt idx="21">
                  <c:v>1907.674993532605</c:v>
                </c:pt>
                <c:pt idx="22">
                  <c:v>2319.5861702585194</c:v>
                </c:pt>
                <c:pt idx="23">
                  <c:v>2797.087496929787</c:v>
                </c:pt>
                <c:pt idx="24">
                  <c:v>3346.9251442702057</c:v>
                </c:pt>
                <c:pt idx="25">
                  <c:v>3976.1749306515494</c:v>
                </c:pt>
                <c:pt idx="26">
                  <c:v>4692.260992299739</c:v>
                </c:pt>
                <c:pt idx="27">
                  <c:v>5502.9867830140456</c:v>
                </c:pt>
                <c:pt idx="28">
                  <c:v>6416.5829095319377</c:v>
                </c:pt>
                <c:pt idx="29">
                  <c:v>7441.7783444204633</c:v>
                </c:pt>
                <c:pt idx="30">
                  <c:v>8587.9049408359151</c:v>
                </c:pt>
                <c:pt idx="31">
                  <c:v>9865.051211181737</c:v>
                </c:pt>
                <c:pt idx="32">
                  <c:v>11284.292927464585</c:v>
                </c:pt>
                <c:pt idx="33">
                  <c:v>12858.051600204721</c:v>
                </c:pt>
                <c:pt idx="34">
                  <c:v>14600.677372002101</c:v>
                </c:pt>
                <c:pt idx="35">
                  <c:v>16529.415139050998</c:v>
                </c:pt>
                <c:pt idx="36">
                  <c:v>18666.006646276288</c:v>
                </c:pt>
                <c:pt idx="37">
                  <c:v>21043.563147465786</c:v>
                </c:pt>
                <c:pt idx="38">
                  <c:v>22064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49E-4AA0-9B02-6B428CC15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8213568"/>
        <c:axId val="276922368"/>
      </c:scatterChart>
      <c:valAx>
        <c:axId val="268213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Density [kg/m³]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276922368"/>
        <c:crossesAt val="0.1"/>
        <c:crossBetween val="midCat"/>
      </c:valAx>
      <c:valAx>
        <c:axId val="276922368"/>
        <c:scaling>
          <c:logBase val="10"/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Pressure [kPa]</a:t>
                </a:r>
              </a:p>
            </c:rich>
          </c:tx>
          <c:overlay val="0"/>
        </c:title>
        <c:numFmt formatCode="0.0" sourceLinked="0"/>
        <c:majorTickMark val="none"/>
        <c:minorTickMark val="none"/>
        <c:tickLblPos val="nextTo"/>
        <c:crossAx val="26821356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27477690288713913"/>
          <c:y val="0.55301096978262332"/>
          <c:w val="0.2002230971128609"/>
          <c:h val="0.15455481526347667"/>
        </c:manualLayout>
      </c:layout>
      <c:overlay val="0"/>
      <c:spPr>
        <a:ln w="15875"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baseline="0"/>
              <a:t>Water Saturation Curve</a:t>
            </a:r>
            <a:endParaRPr lang="en-US"/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v>Saturation Pressure</c:v>
          </c:tx>
          <c:spPr>
            <a:ln w="19050">
              <a:solidFill>
                <a:srgbClr val="0070C0"/>
              </a:solidFill>
            </a:ln>
          </c:spPr>
          <c:marker>
            <c:symbol val="none"/>
          </c:marker>
          <c:xVal>
            <c:numRef>
              <c:f>'Water saturation table'!$C$7:$C$45</c:f>
              <c:numCache>
                <c:formatCode>0.00</c:formatCode>
                <c:ptCount val="39"/>
                <c:pt idx="0">
                  <c:v>273.16000009999999</c:v>
                </c:pt>
                <c:pt idx="1">
                  <c:v>283.14999999999998</c:v>
                </c:pt>
                <c:pt idx="2">
                  <c:v>293.14999999999998</c:v>
                </c:pt>
                <c:pt idx="3">
                  <c:v>303.14999999999998</c:v>
                </c:pt>
                <c:pt idx="4">
                  <c:v>313.14999999999998</c:v>
                </c:pt>
                <c:pt idx="5">
                  <c:v>323.14999999999998</c:v>
                </c:pt>
                <c:pt idx="6">
                  <c:v>333.15</c:v>
                </c:pt>
                <c:pt idx="7">
                  <c:v>343.15</c:v>
                </c:pt>
                <c:pt idx="8">
                  <c:v>353.15</c:v>
                </c:pt>
                <c:pt idx="9">
                  <c:v>363.15</c:v>
                </c:pt>
                <c:pt idx="10">
                  <c:v>373.15</c:v>
                </c:pt>
                <c:pt idx="11">
                  <c:v>383.15</c:v>
                </c:pt>
                <c:pt idx="12">
                  <c:v>393.15</c:v>
                </c:pt>
                <c:pt idx="13">
                  <c:v>403.15</c:v>
                </c:pt>
                <c:pt idx="14">
                  <c:v>413.15</c:v>
                </c:pt>
                <c:pt idx="15">
                  <c:v>423.15</c:v>
                </c:pt>
                <c:pt idx="16">
                  <c:v>433.15</c:v>
                </c:pt>
                <c:pt idx="17">
                  <c:v>443.15</c:v>
                </c:pt>
                <c:pt idx="18">
                  <c:v>453.15</c:v>
                </c:pt>
                <c:pt idx="19">
                  <c:v>463.15</c:v>
                </c:pt>
                <c:pt idx="20">
                  <c:v>473.15</c:v>
                </c:pt>
                <c:pt idx="21">
                  <c:v>483.15</c:v>
                </c:pt>
                <c:pt idx="22">
                  <c:v>493.15</c:v>
                </c:pt>
                <c:pt idx="23">
                  <c:v>503.15</c:v>
                </c:pt>
                <c:pt idx="24">
                  <c:v>513.15</c:v>
                </c:pt>
                <c:pt idx="25">
                  <c:v>523.15</c:v>
                </c:pt>
                <c:pt idx="26">
                  <c:v>533.15</c:v>
                </c:pt>
                <c:pt idx="27">
                  <c:v>543.15</c:v>
                </c:pt>
                <c:pt idx="28">
                  <c:v>553.15</c:v>
                </c:pt>
                <c:pt idx="29">
                  <c:v>563.15</c:v>
                </c:pt>
                <c:pt idx="30">
                  <c:v>573.15</c:v>
                </c:pt>
                <c:pt idx="31">
                  <c:v>583.15</c:v>
                </c:pt>
                <c:pt idx="32">
                  <c:v>593.15</c:v>
                </c:pt>
                <c:pt idx="33">
                  <c:v>603.15</c:v>
                </c:pt>
                <c:pt idx="34">
                  <c:v>613.15</c:v>
                </c:pt>
                <c:pt idx="35">
                  <c:v>623.15</c:v>
                </c:pt>
                <c:pt idx="36">
                  <c:v>633.15</c:v>
                </c:pt>
                <c:pt idx="37">
                  <c:v>643.15</c:v>
                </c:pt>
                <c:pt idx="38" formatCode="General">
                  <c:v>647.096</c:v>
                </c:pt>
              </c:numCache>
            </c:numRef>
          </c:xVal>
          <c:yVal>
            <c:numRef>
              <c:f>'Water saturation table'!$D$7:$D$45</c:f>
              <c:numCache>
                <c:formatCode>0.000000</c:formatCode>
                <c:ptCount val="39"/>
                <c:pt idx="0">
                  <c:v>0.61165472507254326</c:v>
                </c:pt>
                <c:pt idx="1">
                  <c:v>1.2281989186903675</c:v>
                </c:pt>
                <c:pt idx="2">
                  <c:v>2.3393181882699037</c:v>
                </c:pt>
                <c:pt idx="3">
                  <c:v>4.246970839891719</c:v>
                </c:pt>
                <c:pt idx="4">
                  <c:v>7.3849380448820821</c:v>
                </c:pt>
                <c:pt idx="5">
                  <c:v>12.351945832682558</c:v>
                </c:pt>
                <c:pt idx="6">
                  <c:v>19.946434310682807</c:v>
                </c:pt>
                <c:pt idx="7">
                  <c:v>31.200930025108303</c:v>
                </c:pt>
                <c:pt idx="8">
                  <c:v>47.414474028971249</c:v>
                </c:pt>
                <c:pt idx="9">
                  <c:v>70.181765812287622</c:v>
                </c:pt>
                <c:pt idx="10">
                  <c:v>101.41799665682765</c:v>
                </c:pt>
                <c:pt idx="11">
                  <c:v>143.37871294487454</c:v>
                </c:pt>
                <c:pt idx="12">
                  <c:v>198.67442047541007</c:v>
                </c:pt>
                <c:pt idx="13">
                  <c:v>270.27997679068989</c:v>
                </c:pt>
                <c:pt idx="14">
                  <c:v>361.53909939878633</c:v>
                </c:pt>
                <c:pt idx="15">
                  <c:v>476.16453796900316</c:v>
                </c:pt>
                <c:pt idx="16">
                  <c:v>618.23462142924154</c:v>
                </c:pt>
                <c:pt idx="17">
                  <c:v>792.18700698009991</c:v>
                </c:pt>
                <c:pt idx="18">
                  <c:v>1002.8105360799185</c:v>
                </c:pt>
                <c:pt idx="19">
                  <c:v>1255.236155158148</c:v>
                </c:pt>
                <c:pt idx="20">
                  <c:v>1554.9279004687048</c:v>
                </c:pt>
                <c:pt idx="21">
                  <c:v>1907.674993532605</c:v>
                </c:pt>
                <c:pt idx="22">
                  <c:v>2319.5861702585194</c:v>
                </c:pt>
                <c:pt idx="23">
                  <c:v>2797.087496929787</c:v>
                </c:pt>
                <c:pt idx="24">
                  <c:v>3346.9251442702057</c:v>
                </c:pt>
                <c:pt idx="25">
                  <c:v>3976.1749306515494</c:v>
                </c:pt>
                <c:pt idx="26">
                  <c:v>4692.260992299739</c:v>
                </c:pt>
                <c:pt idx="27">
                  <c:v>5502.9867830140456</c:v>
                </c:pt>
                <c:pt idx="28">
                  <c:v>6416.5829095319377</c:v>
                </c:pt>
                <c:pt idx="29">
                  <c:v>7441.7783444204633</c:v>
                </c:pt>
                <c:pt idx="30">
                  <c:v>8587.9049408359151</c:v>
                </c:pt>
                <c:pt idx="31">
                  <c:v>9865.051211181737</c:v>
                </c:pt>
                <c:pt idx="32">
                  <c:v>11284.292927464585</c:v>
                </c:pt>
                <c:pt idx="33">
                  <c:v>12858.051600204721</c:v>
                </c:pt>
                <c:pt idx="34">
                  <c:v>14600.677372002101</c:v>
                </c:pt>
                <c:pt idx="35">
                  <c:v>16529.415139050998</c:v>
                </c:pt>
                <c:pt idx="36">
                  <c:v>18666.006646276288</c:v>
                </c:pt>
                <c:pt idx="37">
                  <c:v>21043.563147465786</c:v>
                </c:pt>
                <c:pt idx="38">
                  <c:v>22064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8D3-4486-9E09-DF263A54D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6924096"/>
        <c:axId val="276924672"/>
      </c:scatterChart>
      <c:valAx>
        <c:axId val="276924096"/>
        <c:scaling>
          <c:orientation val="minMax"/>
          <c:min val="200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Temperature [K]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276924672"/>
        <c:crossesAt val="0.1"/>
        <c:crossBetween val="midCat"/>
      </c:valAx>
      <c:valAx>
        <c:axId val="276924672"/>
        <c:scaling>
          <c:logBase val="10"/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Pressure [kPa]</a:t>
                </a:r>
              </a:p>
            </c:rich>
          </c:tx>
          <c:overlay val="0"/>
        </c:title>
        <c:numFmt formatCode="0.0" sourceLinked="0"/>
        <c:majorTickMark val="none"/>
        <c:minorTickMark val="none"/>
        <c:tickLblPos val="nextTo"/>
        <c:crossAx val="27692409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55019</xdr:colOff>
      <xdr:row>18</xdr:row>
      <xdr:rowOff>172120</xdr:rowOff>
    </xdr:from>
    <xdr:to>
      <xdr:col>17</xdr:col>
      <xdr:colOff>116323</xdr:colOff>
      <xdr:row>38</xdr:row>
      <xdr:rowOff>17108</xdr:rowOff>
    </xdr:to>
    <xdr:graphicFrame macro="">
      <xdr:nvGraphicFramePr>
        <xdr:cNvPr id="2" name="Chart 3">
          <a:extLst>
            <a:ext uri="{FF2B5EF4-FFF2-40B4-BE49-F238E27FC236}">
              <a16:creationId xmlns:a16="http://schemas.microsoft.com/office/drawing/2014/main" id="{3D2471BE-2DBF-4B30-B612-71FACE4906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124073</xdr:colOff>
      <xdr:row>54</xdr:row>
      <xdr:rowOff>36869</xdr:rowOff>
    </xdr:from>
    <xdr:to>
      <xdr:col>23</xdr:col>
      <xdr:colOff>466724</xdr:colOff>
      <xdr:row>72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C0DD9FB-C580-464E-9653-9E5233B7EF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57720</xdr:colOff>
      <xdr:row>54</xdr:row>
      <xdr:rowOff>40781</xdr:rowOff>
    </xdr:from>
    <xdr:to>
      <xdr:col>16</xdr:col>
      <xdr:colOff>77874</xdr:colOff>
      <xdr:row>72</xdr:row>
      <xdr:rowOff>97790</xdr:rowOff>
    </xdr:to>
    <xdr:graphicFrame macro="">
      <xdr:nvGraphicFramePr>
        <xdr:cNvPr id="4" name="Chart 4">
          <a:extLst>
            <a:ext uri="{FF2B5EF4-FFF2-40B4-BE49-F238E27FC236}">
              <a16:creationId xmlns:a16="http://schemas.microsoft.com/office/drawing/2014/main" id="{6A0C1CDB-4400-45C9-A1A9-B6A62741DC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45218</xdr:colOff>
      <xdr:row>0</xdr:row>
      <xdr:rowOff>69420</xdr:rowOff>
    </xdr:from>
    <xdr:to>
      <xdr:col>17</xdr:col>
      <xdr:colOff>102019</xdr:colOff>
      <xdr:row>18</xdr:row>
      <xdr:rowOff>131638</xdr:rowOff>
    </xdr:to>
    <xdr:graphicFrame macro="">
      <xdr:nvGraphicFramePr>
        <xdr:cNvPr id="5" name="Chart 3">
          <a:extLst>
            <a:ext uri="{FF2B5EF4-FFF2-40B4-BE49-F238E27FC236}">
              <a16:creationId xmlns:a16="http://schemas.microsoft.com/office/drawing/2014/main" id="{8E8C8270-0556-45EC-B5AB-DF6F4712B9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0.25069</cdr:x>
      <cdr:y>0.02754</cdr:y>
    </cdr:from>
    <cdr:to>
      <cdr:x>0.72292</cdr:x>
      <cdr:y>0.34479</cdr:y>
    </cdr:to>
    <cdr:sp macro="" textlink="">
      <cdr:nvSpPr>
        <cdr:cNvPr id="2" name="Textfeld 1">
          <a:extLst xmlns:a="http://schemas.openxmlformats.org/drawingml/2006/main">
            <a:ext uri="{FF2B5EF4-FFF2-40B4-BE49-F238E27FC236}">
              <a16:creationId xmlns:a16="http://schemas.microsoft.com/office/drawing/2014/main" id="{CC7E45D4-8253-4AA5-8287-8418EC27A344}"/>
            </a:ext>
          </a:extLst>
        </cdr:cNvPr>
        <cdr:cNvSpPr txBox="1"/>
      </cdr:nvSpPr>
      <cdr:spPr>
        <a:xfrm xmlns:a="http://schemas.openxmlformats.org/drawingml/2006/main">
          <a:off x="1146175" y="79375"/>
          <a:ext cx="21590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1800" b="1"/>
            <a:t>Log p-h Diagram for</a:t>
          </a:r>
          <a:r>
            <a:rPr lang="de-AT" sz="1100"/>
            <a:t> 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0.03738</cdr:x>
      <cdr:y>0.01568</cdr:y>
    </cdr:from>
    <cdr:to>
      <cdr:x>0.64502</cdr:x>
      <cdr:y>0.34</cdr:y>
    </cdr:to>
    <cdr:sp macro="" textlink="">
      <cdr:nvSpPr>
        <cdr:cNvPr id="14" name="Textfeld 1">
          <a:extLst xmlns:a="http://schemas.openxmlformats.org/drawingml/2006/main">
            <a:ext uri="{FF2B5EF4-FFF2-40B4-BE49-F238E27FC236}">
              <a16:creationId xmlns:a16="http://schemas.microsoft.com/office/drawing/2014/main" id="{CC7E45D4-8253-4AA5-8287-8418EC27A344}"/>
            </a:ext>
          </a:extLst>
        </cdr:cNvPr>
        <cdr:cNvSpPr txBox="1"/>
      </cdr:nvSpPr>
      <cdr:spPr>
        <a:xfrm xmlns:a="http://schemas.openxmlformats.org/drawingml/2006/main">
          <a:off x="156580" y="53425"/>
          <a:ext cx="2545505" cy="11048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1800" b="1"/>
            <a:t>Pressure-Density Diagram for</a:t>
          </a:r>
          <a:r>
            <a:rPr lang="de-AT" sz="1100"/>
            <a:t> 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0.52292</cdr:x>
      <cdr:y>0.54619</cdr:y>
    </cdr:from>
    <cdr:to>
      <cdr:x>0.91667</cdr:x>
      <cdr:y>0.66082</cdr:y>
    </cdr:to>
    <cdr:sp macro="" textlink="">
      <cdr:nvSpPr>
        <cdr:cNvPr id="2" name="Textfeld 1">
          <a:extLst xmlns:a="http://schemas.openxmlformats.org/drawingml/2006/main">
            <a:ext uri="{FF2B5EF4-FFF2-40B4-BE49-F238E27FC236}">
              <a16:creationId xmlns:a16="http://schemas.microsoft.com/office/drawing/2014/main" id="{724E26E4-EE08-44F6-8E2C-297CA58E46EF}"/>
            </a:ext>
          </a:extLst>
        </cdr:cNvPr>
        <cdr:cNvSpPr txBox="1"/>
      </cdr:nvSpPr>
      <cdr:spPr>
        <a:xfrm xmlns:a="http://schemas.openxmlformats.org/drawingml/2006/main">
          <a:off x="2390775" y="1543050"/>
          <a:ext cx="1800225" cy="3238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AT" sz="1100"/>
        </a:p>
      </cdr:txBody>
    </cdr:sp>
  </cdr:relSizeAnchor>
  <cdr:relSizeAnchor xmlns:cdr="http://schemas.openxmlformats.org/drawingml/2006/chartDrawing">
    <cdr:from>
      <cdr:x>0.65667</cdr:x>
      <cdr:y>0.51247</cdr:y>
    </cdr:from>
    <cdr:to>
      <cdr:x>0.85667</cdr:x>
      <cdr:y>0.83614</cdr:y>
    </cdr:to>
    <cdr:sp macro="" textlink="">
      <cdr:nvSpPr>
        <cdr:cNvPr id="3" name="Textfeld 2">
          <a:extLst xmlns:a="http://schemas.openxmlformats.org/drawingml/2006/main">
            <a:ext uri="{FF2B5EF4-FFF2-40B4-BE49-F238E27FC236}">
              <a16:creationId xmlns:a16="http://schemas.microsoft.com/office/drawing/2014/main" id="{96E369A4-F631-47F2-900C-79170FCE016E}"/>
            </a:ext>
          </a:extLst>
        </cdr:cNvPr>
        <cdr:cNvSpPr txBox="1"/>
      </cdr:nvSpPr>
      <cdr:spPr>
        <a:xfrm xmlns:a="http://schemas.openxmlformats.org/drawingml/2006/main">
          <a:off x="3002280" y="14478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AT" sz="1100"/>
        </a:p>
      </cdr:txBody>
    </cdr:sp>
  </cdr:relSizeAnchor>
  <cdr:relSizeAnchor xmlns:cdr="http://schemas.openxmlformats.org/drawingml/2006/chartDrawing">
    <cdr:from>
      <cdr:x>0.49208</cdr:x>
      <cdr:y>0.58665</cdr:y>
    </cdr:from>
    <cdr:to>
      <cdr:x>0.69208</cdr:x>
      <cdr:y>0.91032</cdr:y>
    </cdr:to>
    <cdr:sp macro="" textlink="">
      <cdr:nvSpPr>
        <cdr:cNvPr id="4" name="Textfeld 3">
          <a:extLst xmlns:a="http://schemas.openxmlformats.org/drawingml/2006/main">
            <a:ext uri="{FF2B5EF4-FFF2-40B4-BE49-F238E27FC236}">
              <a16:creationId xmlns:a16="http://schemas.microsoft.com/office/drawing/2014/main" id="{00295215-5376-45F1-8887-B9E6038F77DE}"/>
            </a:ext>
          </a:extLst>
        </cdr:cNvPr>
        <cdr:cNvSpPr txBox="1"/>
      </cdr:nvSpPr>
      <cdr:spPr>
        <a:xfrm xmlns:a="http://schemas.openxmlformats.org/drawingml/2006/main">
          <a:off x="2249805" y="16573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AT" sz="1100"/>
        </a:p>
      </cdr:txBody>
    </cdr:sp>
  </cdr:relSizeAnchor>
  <cdr:relSizeAnchor xmlns:cdr="http://schemas.openxmlformats.org/drawingml/2006/chartDrawing">
    <cdr:from>
      <cdr:x>0.4</cdr:x>
      <cdr:y>0.33817</cdr:y>
    </cdr:from>
    <cdr:to>
      <cdr:x>0.6</cdr:x>
      <cdr:y>0.66183</cdr:y>
    </cdr:to>
    <cdr:sp macro="" textlink="">
      <cdr:nvSpPr>
        <cdr:cNvPr id="5" name="Textfeld 4">
          <a:extLst xmlns:a="http://schemas.openxmlformats.org/drawingml/2006/main">
            <a:ext uri="{FF2B5EF4-FFF2-40B4-BE49-F238E27FC236}">
              <a16:creationId xmlns:a16="http://schemas.microsoft.com/office/drawing/2014/main" id="{0831B368-86B8-49D6-B08C-47FFA096E2A4}"/>
            </a:ext>
          </a:extLst>
        </cdr:cNvPr>
        <cdr:cNvSpPr txBox="1"/>
      </cdr:nvSpPr>
      <cdr:spPr>
        <a:xfrm xmlns:a="http://schemas.openxmlformats.org/drawingml/2006/main">
          <a:off x="1828800" y="955357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de-AT" sz="1100"/>
        </a:p>
      </cdr:txBody>
    </cdr:sp>
  </cdr:relSizeAnchor>
  <cdr:relSizeAnchor xmlns:cdr="http://schemas.openxmlformats.org/drawingml/2006/chartDrawing">
    <cdr:from>
      <cdr:x>0.44833</cdr:x>
      <cdr:y>0.3439</cdr:y>
    </cdr:from>
    <cdr:to>
      <cdr:x>0.64833</cdr:x>
      <cdr:y>0.66757</cdr:y>
    </cdr:to>
    <cdr:sp macro="" textlink="">
      <cdr:nvSpPr>
        <cdr:cNvPr id="6" name="Textfeld 5">
          <a:extLst xmlns:a="http://schemas.openxmlformats.org/drawingml/2006/main">
            <a:ext uri="{FF2B5EF4-FFF2-40B4-BE49-F238E27FC236}">
              <a16:creationId xmlns:a16="http://schemas.microsoft.com/office/drawing/2014/main" id="{FA7D6473-3031-4A08-B834-29EA8491D943}"/>
            </a:ext>
          </a:extLst>
        </cdr:cNvPr>
        <cdr:cNvSpPr txBox="1"/>
      </cdr:nvSpPr>
      <cdr:spPr>
        <a:xfrm xmlns:a="http://schemas.openxmlformats.org/drawingml/2006/main">
          <a:off x="2049780" y="97155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de-AT" sz="1100"/>
        </a:p>
      </cdr:txBody>
    </cdr:sp>
  </cdr:relSizeAnchor>
  <cdr:relSizeAnchor xmlns:cdr="http://schemas.openxmlformats.org/drawingml/2006/chartDrawing">
    <cdr:from>
      <cdr:x>0.27542</cdr:x>
      <cdr:y>0.01349</cdr:y>
    </cdr:from>
    <cdr:to>
      <cdr:x>0.47542</cdr:x>
      <cdr:y>0.33715</cdr:y>
    </cdr:to>
    <cdr:sp macro="" textlink="">
      <cdr:nvSpPr>
        <cdr:cNvPr id="8" name="Textfeld 7">
          <a:extLst xmlns:a="http://schemas.openxmlformats.org/drawingml/2006/main">
            <a:ext uri="{FF2B5EF4-FFF2-40B4-BE49-F238E27FC236}">
              <a16:creationId xmlns:a16="http://schemas.microsoft.com/office/drawing/2014/main" id="{8ED182BA-D7EA-4BC1-8D73-7613BE4B77F7}"/>
            </a:ext>
          </a:extLst>
        </cdr:cNvPr>
        <cdr:cNvSpPr txBox="1"/>
      </cdr:nvSpPr>
      <cdr:spPr>
        <a:xfrm xmlns:a="http://schemas.openxmlformats.org/drawingml/2006/main">
          <a:off x="1259205" y="381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de-AT" sz="1800" b="1"/>
            <a:t>Saturated</a:t>
          </a:r>
          <a:r>
            <a:rPr lang="de-AT" sz="1800" b="1" baseline="0"/>
            <a:t> vapor</a:t>
          </a:r>
          <a:r>
            <a:rPr lang="de-AT" sz="1100"/>
            <a:t> 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0.25069</cdr:x>
      <cdr:y>0.02754</cdr:y>
    </cdr:from>
    <cdr:to>
      <cdr:x>0.72292</cdr:x>
      <cdr:y>0.34479</cdr:y>
    </cdr:to>
    <cdr:sp macro="" textlink="">
      <cdr:nvSpPr>
        <cdr:cNvPr id="2" name="Textfeld 1">
          <a:extLst xmlns:a="http://schemas.openxmlformats.org/drawingml/2006/main">
            <a:ext uri="{FF2B5EF4-FFF2-40B4-BE49-F238E27FC236}">
              <a16:creationId xmlns:a16="http://schemas.microsoft.com/office/drawing/2014/main" id="{CC7E45D4-8253-4AA5-8287-8418EC27A344}"/>
            </a:ext>
          </a:extLst>
        </cdr:cNvPr>
        <cdr:cNvSpPr txBox="1"/>
      </cdr:nvSpPr>
      <cdr:spPr>
        <a:xfrm xmlns:a="http://schemas.openxmlformats.org/drawingml/2006/main">
          <a:off x="1146175" y="79375"/>
          <a:ext cx="21590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AT" sz="1800" b="1"/>
            <a:t>T-h Diagram for</a:t>
          </a:r>
          <a:r>
            <a:rPr lang="de-AT" sz="1100"/>
            <a:t> 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0</xdr:row>
      <xdr:rowOff>76200</xdr:rowOff>
    </xdr:from>
    <xdr:to>
      <xdr:col>3</xdr:col>
      <xdr:colOff>659767</xdr:colOff>
      <xdr:row>5</xdr:row>
      <xdr:rowOff>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8200" y="76200"/>
          <a:ext cx="914402" cy="9144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1743075</xdr:colOff>
      <xdr:row>0</xdr:row>
      <xdr:rowOff>57150</xdr:rowOff>
    </xdr:from>
    <xdr:to>
      <xdr:col>1</xdr:col>
      <xdr:colOff>2646047</xdr:colOff>
      <xdr:row>4</xdr:row>
      <xdr:rowOff>209552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3075" y="57150"/>
          <a:ext cx="914402" cy="914402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190500</xdr:colOff>
      <xdr:row>31</xdr:row>
      <xdr:rowOff>180975</xdr:rowOff>
    </xdr:from>
    <xdr:to>
      <xdr:col>16</xdr:col>
      <xdr:colOff>495300</xdr:colOff>
      <xdr:row>47</xdr:row>
      <xdr:rowOff>85725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190500</xdr:colOff>
      <xdr:row>15</xdr:row>
      <xdr:rowOff>133350</xdr:rowOff>
    </xdr:from>
    <xdr:to>
      <xdr:col>16</xdr:col>
      <xdr:colOff>495300</xdr:colOff>
      <xdr:row>31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190500</xdr:colOff>
      <xdr:row>0</xdr:row>
      <xdr:rowOff>47625</xdr:rowOff>
    </xdr:from>
    <xdr:to>
      <xdr:col>16</xdr:col>
      <xdr:colOff>495300</xdr:colOff>
      <xdr:row>15</xdr:row>
      <xdr:rowOff>57150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8461082/AppData/Roaming/Microsoft/AddIns/CoolProp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  <sheetName val="CoolProp"/>
    </sheetNames>
    <definedNames>
      <definedName name="get_global_param_string"/>
      <definedName name="HAPropsSI"/>
      <definedName name="MixtureString"/>
      <definedName name="PhaseSI"/>
      <definedName name="Props1SI"/>
      <definedName name="PropsSI"/>
    </definedNames>
    <sheetDataSet>
      <sheetData sheetId="0"/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D5:D127" totalsRowShown="0" headerRowDxfId="5">
  <autoFilter ref="D5:D127" xr:uid="{00000000-0009-0000-0100-000001000000}"/>
  <tableColumns count="1">
    <tableColumn id="1" xr3:uid="{00000000-0010-0000-0000-000001000000}" name="PureFluid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F5:F110" totalsRowShown="0" headerRowDxfId="4">
  <autoFilter ref="F5:F110" xr:uid="{00000000-0009-0000-0100-000002000000}"/>
  <tableColumns count="1">
    <tableColumn id="1" xr3:uid="{00000000-0010-0000-0100-000001000000}" name="PredefinedMixture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H5:H170" totalsRowShown="0" headerRowDxfId="3">
  <autoFilter ref="H5:H170" xr:uid="{00000000-0009-0000-0100-000003000000}"/>
  <tableColumns count="1">
    <tableColumn id="1" xr3:uid="{00000000-0010-0000-0200-000001000000}" name="ParameterList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4" displayName="Table4" ref="J5:J7" totalsRowShown="0" headerRowDxfId="2">
  <autoFilter ref="J5:J7" xr:uid="{00000000-0009-0000-0100-000004000000}"/>
  <tableColumns count="1">
    <tableColumn id="1" xr3:uid="{00000000-0010-0000-0300-000001000000}" name="FluidTyp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75F96-3E9D-47AD-8105-D031C1A72E40}">
  <dimension ref="A1:B16"/>
  <sheetViews>
    <sheetView workbookViewId="0">
      <selection activeCell="G8" sqref="G8"/>
    </sheetView>
  </sheetViews>
  <sheetFormatPr baseColWidth="10" defaultRowHeight="14.5" x14ac:dyDescent="0.35"/>
  <cols>
    <col min="1" max="1" width="14.6328125" customWidth="1"/>
    <col min="2" max="2" width="18.36328125" customWidth="1"/>
  </cols>
  <sheetData>
    <row r="1" spans="1:2" ht="18.5" x14ac:dyDescent="0.45">
      <c r="A1" s="37" t="s">
        <v>620</v>
      </c>
    </row>
    <row r="3" spans="1:2" ht="18.5" x14ac:dyDescent="0.45">
      <c r="A3" s="132" t="s">
        <v>622</v>
      </c>
    </row>
    <row r="4" spans="1:2" ht="18.5" x14ac:dyDescent="0.45">
      <c r="A4" s="37" t="s">
        <v>623</v>
      </c>
    </row>
    <row r="5" spans="1:2" ht="18.5" x14ac:dyDescent="0.45">
      <c r="A5" s="37" t="s">
        <v>651</v>
      </c>
    </row>
    <row r="6" spans="1:2" ht="18.5" x14ac:dyDescent="0.45">
      <c r="A6" s="37" t="s">
        <v>613</v>
      </c>
    </row>
    <row r="7" spans="1:2" ht="18.5" x14ac:dyDescent="0.45">
      <c r="A7" s="129" t="s">
        <v>614</v>
      </c>
    </row>
    <row r="9" spans="1:2" ht="18.5" x14ac:dyDescent="0.45">
      <c r="A9" s="37" t="s">
        <v>615</v>
      </c>
      <c r="B9" s="133" t="s">
        <v>621</v>
      </c>
    </row>
    <row r="10" spans="1:2" ht="18.5" x14ac:dyDescent="0.45">
      <c r="A10" s="130"/>
    </row>
    <row r="11" spans="1:2" ht="18.5" x14ac:dyDescent="0.45">
      <c r="A11" s="37" t="s">
        <v>616</v>
      </c>
    </row>
    <row r="12" spans="1:2" ht="18.5" x14ac:dyDescent="0.45">
      <c r="A12" s="37" t="s">
        <v>617</v>
      </c>
    </row>
    <row r="13" spans="1:2" ht="18.5" x14ac:dyDescent="0.45">
      <c r="A13" s="37" t="s">
        <v>652</v>
      </c>
    </row>
    <row r="14" spans="1:2" ht="18.5" x14ac:dyDescent="0.45">
      <c r="A14" s="37" t="s">
        <v>618</v>
      </c>
    </row>
    <row r="15" spans="1:2" ht="18.5" x14ac:dyDescent="0.45">
      <c r="A15" s="37" t="s">
        <v>624</v>
      </c>
    </row>
    <row r="16" spans="1:2" ht="18.5" x14ac:dyDescent="0.45">
      <c r="A16" s="131" t="s">
        <v>619</v>
      </c>
    </row>
  </sheetData>
  <sheetProtection sheet="1" objects="1" scenarios="1" selectLockedCells="1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5946F-B332-40BE-BC1F-F2F56965D779}">
  <dimension ref="A1:AD62"/>
  <sheetViews>
    <sheetView tabSelected="1" topLeftCell="J1" zoomScaleNormal="100" workbookViewId="0">
      <selection activeCell="U12" sqref="U12"/>
    </sheetView>
  </sheetViews>
  <sheetFormatPr baseColWidth="10" defaultColWidth="8.90625" defaultRowHeight="14.5" x14ac:dyDescent="0.35"/>
  <cols>
    <col min="1" max="1" width="4" customWidth="1"/>
    <col min="2" max="2" width="12.6328125" bestFit="1" customWidth="1"/>
    <col min="3" max="3" width="12.1796875" customWidth="1"/>
    <col min="4" max="4" width="9.54296875" customWidth="1"/>
    <col min="5" max="5" width="10.1796875" customWidth="1"/>
    <col min="6" max="6" width="10" customWidth="1"/>
    <col min="7" max="7" width="10.6328125" customWidth="1"/>
    <col min="8" max="8" width="9.6328125" customWidth="1"/>
    <col min="9" max="9" width="11.81640625" customWidth="1"/>
    <col min="10" max="10" width="4.1796875" customWidth="1"/>
    <col min="12" max="12" width="17.90625" customWidth="1"/>
    <col min="18" max="18" width="2.36328125" customWidth="1"/>
    <col min="19" max="19" width="18.36328125" customWidth="1"/>
    <col min="20" max="20" width="5.90625" customWidth="1"/>
    <col min="21" max="21" width="7" customWidth="1"/>
    <col min="22" max="22" width="7.6328125" customWidth="1"/>
    <col min="23" max="23" width="7.81640625" customWidth="1"/>
    <col min="24" max="24" width="12.6328125" customWidth="1"/>
    <col min="25" max="26" width="8.54296875" customWidth="1"/>
    <col min="27" max="27" width="8.36328125" customWidth="1"/>
    <col min="28" max="28" width="16.6328125" customWidth="1"/>
    <col min="29" max="29" width="7.36328125" customWidth="1"/>
    <col min="30" max="30" width="8.08984375" customWidth="1"/>
  </cols>
  <sheetData>
    <row r="1" spans="1:30" ht="19" thickBot="1" x14ac:dyDescent="0.5">
      <c r="A1" s="1"/>
      <c r="B1" s="13"/>
      <c r="C1" s="13"/>
      <c r="D1" s="13"/>
      <c r="E1" s="13"/>
      <c r="F1" s="13"/>
      <c r="G1" s="13"/>
      <c r="H1" s="13"/>
      <c r="I1" s="13"/>
      <c r="J1" s="1"/>
      <c r="S1" s="37" t="s">
        <v>603</v>
      </c>
      <c r="T1" s="37"/>
      <c r="U1" s="37"/>
      <c r="V1" s="37"/>
      <c r="X1" s="82" t="s">
        <v>558</v>
      </c>
      <c r="Y1" s="83"/>
      <c r="Z1" s="84"/>
      <c r="AA1" s="79"/>
      <c r="AB1" s="82" t="s">
        <v>644</v>
      </c>
      <c r="AC1" s="84"/>
      <c r="AD1" s="84"/>
    </row>
    <row r="2" spans="1:30" ht="19" thickTop="1" x14ac:dyDescent="0.45">
      <c r="A2" s="12"/>
      <c r="B2" s="134" t="s">
        <v>528</v>
      </c>
      <c r="C2" s="135"/>
      <c r="D2" s="135"/>
      <c r="E2" s="135"/>
      <c r="F2" s="135"/>
      <c r="G2" s="65"/>
      <c r="H2" s="65"/>
      <c r="I2" s="128" t="s">
        <v>203</v>
      </c>
      <c r="J2" s="1"/>
      <c r="S2" s="87" t="s">
        <v>555</v>
      </c>
      <c r="T2" s="87"/>
      <c r="U2" s="126" t="s">
        <v>234</v>
      </c>
      <c r="V2" s="85"/>
      <c r="X2" s="79" t="s">
        <v>559</v>
      </c>
      <c r="Y2" s="83" t="s">
        <v>529</v>
      </c>
      <c r="Z2" s="94">
        <f>AA23</f>
        <v>38</v>
      </c>
      <c r="AA2" s="79"/>
      <c r="AB2" s="84" t="s">
        <v>569</v>
      </c>
      <c r="AC2" s="83" t="s">
        <v>529</v>
      </c>
      <c r="AD2" s="97">
        <f>Y23</f>
        <v>53.378009276034788</v>
      </c>
    </row>
    <row r="3" spans="1:30" ht="15" customHeight="1" x14ac:dyDescent="0.45">
      <c r="A3" s="12"/>
      <c r="B3" s="91"/>
      <c r="C3" s="91"/>
      <c r="D3" s="91"/>
      <c r="E3" s="91"/>
      <c r="F3" s="91"/>
      <c r="G3" s="91"/>
      <c r="H3" s="92"/>
      <c r="I3" s="93"/>
      <c r="J3" s="1"/>
      <c r="S3" s="87" t="s">
        <v>631</v>
      </c>
      <c r="T3" s="88" t="s">
        <v>529</v>
      </c>
      <c r="U3" s="127">
        <v>35</v>
      </c>
      <c r="V3" s="90">
        <f>U3+273.15</f>
        <v>308.14999999999998</v>
      </c>
      <c r="X3" s="79" t="s">
        <v>560</v>
      </c>
      <c r="Y3" s="83" t="s">
        <v>529</v>
      </c>
      <c r="Z3" s="94">
        <f>V23</f>
        <v>-1</v>
      </c>
      <c r="AA3" s="79"/>
      <c r="AB3" s="79"/>
      <c r="AC3" s="79"/>
      <c r="AD3" s="79"/>
    </row>
    <row r="4" spans="1:30" ht="12.65" customHeight="1" x14ac:dyDescent="0.35">
      <c r="A4" s="12"/>
      <c r="B4" s="19" t="s">
        <v>9</v>
      </c>
      <c r="C4" s="20" t="s">
        <v>9</v>
      </c>
      <c r="D4" s="70" t="s">
        <v>530</v>
      </c>
      <c r="E4" s="20" t="s">
        <v>12</v>
      </c>
      <c r="F4" s="20" t="s">
        <v>551</v>
      </c>
      <c r="G4" s="20" t="s">
        <v>552</v>
      </c>
      <c r="H4" s="20" t="s">
        <v>553</v>
      </c>
      <c r="I4" s="21" t="s">
        <v>554</v>
      </c>
      <c r="J4" s="1"/>
      <c r="S4" s="87" t="s">
        <v>632</v>
      </c>
      <c r="T4" s="88" t="s">
        <v>529</v>
      </c>
      <c r="U4" s="127">
        <v>30</v>
      </c>
      <c r="V4" s="90">
        <f>U4+273.15</f>
        <v>303.14999999999998</v>
      </c>
      <c r="X4" s="113" t="s">
        <v>602</v>
      </c>
      <c r="Y4" s="114"/>
      <c r="Z4" s="115">
        <f>V3/(V3-V6)</f>
        <v>11.005357142857141</v>
      </c>
      <c r="AA4" s="79"/>
      <c r="AB4" s="112" t="s">
        <v>570</v>
      </c>
      <c r="AC4" s="84"/>
      <c r="AD4" s="84"/>
    </row>
    <row r="5" spans="1:30" x14ac:dyDescent="0.35">
      <c r="A5" s="12"/>
      <c r="B5" s="7"/>
      <c r="C5" s="8"/>
      <c r="D5" s="8" t="s">
        <v>549</v>
      </c>
      <c r="E5" s="20"/>
      <c r="F5" s="20" t="s">
        <v>550</v>
      </c>
      <c r="G5" s="20" t="s">
        <v>550</v>
      </c>
      <c r="H5" s="20" t="s">
        <v>13</v>
      </c>
      <c r="I5" s="21" t="s">
        <v>13</v>
      </c>
      <c r="J5" s="1"/>
      <c r="S5" s="87" t="s">
        <v>556</v>
      </c>
      <c r="T5" s="88"/>
      <c r="U5" s="126" t="s">
        <v>119</v>
      </c>
      <c r="V5" s="90"/>
      <c r="X5" s="79" t="s">
        <v>563</v>
      </c>
      <c r="Y5" s="80" t="s">
        <v>539</v>
      </c>
      <c r="Z5" s="96">
        <f>Z24/(Z24-V24)</f>
        <v>7.9782051282051274</v>
      </c>
      <c r="AA5" s="79"/>
      <c r="AB5" s="116" t="str">
        <f t="shared" ref="AB5:AB6" si="0">S48</f>
        <v>Delta T Pinch</v>
      </c>
      <c r="AC5" s="117" t="str">
        <f t="shared" ref="AC5:AD6" si="1">T48</f>
        <v>°C</v>
      </c>
      <c r="AD5" s="118">
        <f t="shared" si="1"/>
        <v>3.4477809032790034</v>
      </c>
    </row>
    <row r="6" spans="1:30" ht="16" thickBot="1" x14ac:dyDescent="0.4">
      <c r="A6" s="12"/>
      <c r="B6" s="9" t="s">
        <v>7</v>
      </c>
      <c r="C6" s="10" t="s">
        <v>1</v>
      </c>
      <c r="D6" s="10" t="s">
        <v>529</v>
      </c>
      <c r="E6" s="10" t="s">
        <v>96</v>
      </c>
      <c r="F6" s="10" t="s">
        <v>3</v>
      </c>
      <c r="G6" s="10" t="s">
        <v>3</v>
      </c>
      <c r="H6" s="10" t="s">
        <v>97</v>
      </c>
      <c r="I6" s="11" t="s">
        <v>97</v>
      </c>
      <c r="J6" s="1"/>
      <c r="S6" s="87" t="s">
        <v>633</v>
      </c>
      <c r="T6" s="88" t="s">
        <v>529</v>
      </c>
      <c r="U6" s="127">
        <v>7</v>
      </c>
      <c r="V6" s="90">
        <f>U6+273.15</f>
        <v>280.14999999999998</v>
      </c>
      <c r="X6" s="103" t="s">
        <v>562</v>
      </c>
      <c r="Y6" s="104" t="s">
        <v>539</v>
      </c>
      <c r="Z6" s="105">
        <f>(X35-AA35)/(X35-W35)</f>
        <v>5.6845505786533312</v>
      </c>
      <c r="AA6" s="79"/>
      <c r="AB6" s="116" t="str">
        <f t="shared" si="0"/>
        <v>Delta T Si-Refr_a</v>
      </c>
      <c r="AC6" s="117" t="str">
        <f t="shared" si="1"/>
        <v>°C</v>
      </c>
      <c r="AD6" s="118">
        <f t="shared" si="1"/>
        <v>5</v>
      </c>
    </row>
    <row r="7" spans="1:30" ht="15.5" thickTop="1" thickBot="1" x14ac:dyDescent="0.4">
      <c r="A7" s="1"/>
      <c r="B7" s="17"/>
      <c r="C7" s="18"/>
      <c r="D7" s="18"/>
      <c r="E7" s="18"/>
      <c r="F7" s="18"/>
      <c r="G7" s="18"/>
      <c r="H7" s="18"/>
      <c r="I7" s="18"/>
      <c r="J7" s="1"/>
      <c r="S7" s="87" t="s">
        <v>634</v>
      </c>
      <c r="T7" s="88" t="s">
        <v>529</v>
      </c>
      <c r="U7" s="127">
        <v>2</v>
      </c>
      <c r="V7" s="90">
        <f>U7+273.15</f>
        <v>275.14999999999998</v>
      </c>
      <c r="X7" s="79" t="s">
        <v>561</v>
      </c>
      <c r="Y7" s="80" t="s">
        <v>539</v>
      </c>
      <c r="Z7" s="96">
        <f>(W35-U35)/(X35-W35)</f>
        <v>4.6845505786533312</v>
      </c>
      <c r="AA7" s="79"/>
      <c r="AB7" s="79" t="s">
        <v>641</v>
      </c>
      <c r="AC7" s="81" t="s">
        <v>529</v>
      </c>
      <c r="AD7" s="96">
        <f>((AD2-U3)-AD5)/LN((AD2-U3)/AD5)</f>
        <v>8.9219638446804819</v>
      </c>
    </row>
    <row r="8" spans="1:30" ht="15.5" thickTop="1" thickBot="1" x14ac:dyDescent="0.4">
      <c r="A8" s="1"/>
      <c r="B8" s="66"/>
      <c r="C8" s="40"/>
      <c r="D8" s="3"/>
      <c r="E8" s="66"/>
      <c r="F8" s="67"/>
      <c r="G8" s="67"/>
      <c r="H8" s="68"/>
      <c r="I8" s="69"/>
      <c r="J8" s="1"/>
      <c r="S8" s="87"/>
      <c r="T8" s="88"/>
      <c r="U8" s="35"/>
      <c r="V8" s="85"/>
      <c r="X8" s="84" t="s">
        <v>565</v>
      </c>
      <c r="Y8" s="81" t="s">
        <v>531</v>
      </c>
      <c r="Z8" s="97">
        <f>U14</f>
        <v>10</v>
      </c>
      <c r="AA8" s="79"/>
      <c r="AB8" s="79" t="s">
        <v>637</v>
      </c>
      <c r="AC8" s="81" t="s">
        <v>529</v>
      </c>
      <c r="AD8" s="96">
        <f>(AD5-U52)/LN(AD5/U52)</f>
        <v>5.3621024394201484</v>
      </c>
    </row>
    <row r="9" spans="1:30" ht="15" thickTop="1" x14ac:dyDescent="0.35">
      <c r="A9" s="16"/>
      <c r="B9" s="2">
        <v>-30</v>
      </c>
      <c r="C9" s="3">
        <f t="shared" ref="C9:C46" si="2">IF(E10&gt;0.6511,IF(B9&lt;$B$49,B9+273.15,$C$49),($B$15+273.15))</f>
        <v>243.14999999999998</v>
      </c>
      <c r="D9" s="3">
        <f>C9-273.15</f>
        <v>-30</v>
      </c>
      <c r="E9" s="66">
        <f>IF(E10&gt;0.6115,[1]!PropsSI("P","T",C9,"Q",1,$I$2)/1000,E10)</f>
        <v>84.377742781095378</v>
      </c>
      <c r="F9" s="67">
        <f>[1]!PropsSI("D","T",$C9,"Q",0,$I$2)</f>
        <v>1388.4017483451739</v>
      </c>
      <c r="G9" s="67">
        <f>[1]!PropsSI("D","T",$C9,"Q",1,$I$2)</f>
        <v>4.4258653056410386</v>
      </c>
      <c r="H9" s="68">
        <f>[1]!PropsSI("H","T",$C9,"Q",0,$I$2)/1000</f>
        <v>160.79197795299146</v>
      </c>
      <c r="I9" s="69">
        <f>[1]!PropsSI("H","T",$C9,"Q",1,$I$2)/1000</f>
        <v>380.3185682060153</v>
      </c>
      <c r="J9" s="1"/>
      <c r="S9" s="87" t="s">
        <v>625</v>
      </c>
      <c r="T9" s="88" t="s">
        <v>1</v>
      </c>
      <c r="U9" s="127">
        <v>3</v>
      </c>
      <c r="V9" s="85"/>
      <c r="X9" s="84" t="s">
        <v>564</v>
      </c>
      <c r="Y9" s="81" t="s">
        <v>531</v>
      </c>
      <c r="Z9" s="97">
        <f>Z12*(W35-U35)</f>
        <v>8.2408459804101177</v>
      </c>
      <c r="AA9" s="79"/>
      <c r="AB9" s="79" t="s">
        <v>638</v>
      </c>
      <c r="AC9" s="81" t="s">
        <v>529</v>
      </c>
      <c r="AD9" s="96">
        <f>(U52-AD6)/LN(U52/AD6)</f>
        <v>6.3313081740215527</v>
      </c>
    </row>
    <row r="10" spans="1:30" x14ac:dyDescent="0.35">
      <c r="A10" s="16"/>
      <c r="B10">
        <v>-20</v>
      </c>
      <c r="C10" s="3">
        <f t="shared" si="2"/>
        <v>253.14999999999998</v>
      </c>
      <c r="D10" s="3">
        <f t="shared" ref="D10:D49" si="3">C10-273.15</f>
        <v>-20</v>
      </c>
      <c r="E10" s="66">
        <f>IF(E11&gt;0.6115,[1]!PropsSI("P","T",C10,"Q",1,$I$2)/1000,E11)</f>
        <v>132.73497949922276</v>
      </c>
      <c r="F10" s="67">
        <f>[1]!PropsSI("D","T",$C10,"Q",0,$I$2)</f>
        <v>1358.2653901099084</v>
      </c>
      <c r="G10" s="67">
        <f>[1]!PropsSI("D","T",$C10,"Q",1,$I$2)</f>
        <v>6.7844953275727802</v>
      </c>
      <c r="H10" s="68">
        <f>[1]!PropsSI("H","T",$C10,"Q",0,$I$2)/1000</f>
        <v>173.63574380724836</v>
      </c>
      <c r="I10" s="69">
        <f>[1]!PropsSI("H","T",$C10,"Q",1,$I$2)/1000</f>
        <v>386.55426163130926</v>
      </c>
      <c r="J10" s="1"/>
      <c r="S10" s="87" t="s">
        <v>629</v>
      </c>
      <c r="T10" s="88" t="s">
        <v>1</v>
      </c>
      <c r="U10" s="127">
        <v>3</v>
      </c>
      <c r="V10" s="85"/>
      <c r="X10" s="84" t="s">
        <v>600</v>
      </c>
      <c r="Y10" s="81" t="s">
        <v>531</v>
      </c>
      <c r="Z10" s="97">
        <f>Z12*(X35-W35)</f>
        <v>1.7591540195898825</v>
      </c>
      <c r="AA10" s="79"/>
      <c r="AB10" s="112" t="str">
        <f>W44</f>
        <v>Evaporator</v>
      </c>
      <c r="AC10" s="81"/>
      <c r="AD10" s="96"/>
    </row>
    <row r="11" spans="1:30" x14ac:dyDescent="0.35">
      <c r="A11" s="16"/>
      <c r="B11" s="2">
        <v>-10</v>
      </c>
      <c r="C11" s="3">
        <f t="shared" si="2"/>
        <v>263.14999999999998</v>
      </c>
      <c r="D11" s="3">
        <f t="shared" si="3"/>
        <v>-10</v>
      </c>
      <c r="E11" s="66">
        <f>IF(E12&gt;0.6115,[1]!PropsSI("P","T",C11,"Q",1,$I$2)/1000,E12)</f>
        <v>200.6033074727022</v>
      </c>
      <c r="F11" s="67">
        <f>[1]!PropsSI("D","T",$C11,"Q",0,$I$2)</f>
        <v>1327.1261634410075</v>
      </c>
      <c r="G11" s="67">
        <f>[1]!PropsSI("D","T",$C11,"Q",1,$I$2)</f>
        <v>10.041153520209699</v>
      </c>
      <c r="H11" s="68">
        <f>[1]!PropsSI("H","T",$C11,"Q",0,$I$2)/1000</f>
        <v>186.69659112921045</v>
      </c>
      <c r="I11" s="69">
        <f>[1]!PropsSI("H","T",$C11,"Q",1,$I$2)/1000</f>
        <v>392.66491356786076</v>
      </c>
      <c r="J11" s="1"/>
      <c r="S11" s="87" t="s">
        <v>626</v>
      </c>
      <c r="T11" s="88" t="s">
        <v>1</v>
      </c>
      <c r="U11" s="127">
        <v>3</v>
      </c>
      <c r="V11" s="85"/>
      <c r="X11" s="84" t="s">
        <v>543</v>
      </c>
      <c r="Y11" s="81" t="s">
        <v>531</v>
      </c>
      <c r="Z11" s="95">
        <f>Z10/U16</f>
        <v>1.9546155773220917</v>
      </c>
      <c r="AA11" s="79"/>
      <c r="AB11" s="116" t="str">
        <f>W48</f>
        <v>Delta T So-Ref_a</v>
      </c>
      <c r="AC11" s="117" t="str">
        <f>Y48</f>
        <v>°C</v>
      </c>
      <c r="AD11" s="118">
        <f>Z48</f>
        <v>3</v>
      </c>
    </row>
    <row r="12" spans="1:30" x14ac:dyDescent="0.35">
      <c r="A12" s="16"/>
      <c r="B12">
        <v>0</v>
      </c>
      <c r="C12" s="3">
        <f t="shared" si="2"/>
        <v>273.14999999999998</v>
      </c>
      <c r="D12" s="3">
        <f t="shared" si="3"/>
        <v>0</v>
      </c>
      <c r="E12" s="66">
        <f>IF(E13&gt;0.6115,[1]!PropsSI("P","T",C12,"Q",1,$I$2)/1000,E13)</f>
        <v>292.80318233949515</v>
      </c>
      <c r="F12" s="67">
        <f>[1]!PropsSI("D","T",$C12,"Q",0,$I$2)</f>
        <v>1294.7770206645357</v>
      </c>
      <c r="G12" s="67">
        <f>[1]!PropsSI("D","T",$C12,"Q",1,$I$2)</f>
        <v>14.428201406950738</v>
      </c>
      <c r="H12" s="68">
        <f>[1]!PropsSI("H","T",$C12,"Q",0,$I$2)/1000</f>
        <v>199.99998852614488</v>
      </c>
      <c r="I12" s="69">
        <f>[1]!PropsSI("H","T",$C12,"Q",1,$I$2)/1000</f>
        <v>398.60345362765491</v>
      </c>
      <c r="J12" s="1"/>
      <c r="S12" s="87" t="s">
        <v>630</v>
      </c>
      <c r="T12" s="88" t="s">
        <v>1</v>
      </c>
      <c r="U12" s="127">
        <v>5</v>
      </c>
      <c r="V12" s="85"/>
      <c r="X12" s="79" t="s">
        <v>538</v>
      </c>
      <c r="Y12" s="81" t="s">
        <v>540</v>
      </c>
      <c r="Z12" s="98">
        <f>Z8/(X35-AA35)</f>
        <v>5.3689096624548897E-2</v>
      </c>
      <c r="AA12" s="79"/>
      <c r="AB12" s="116" t="str">
        <f>W49</f>
        <v>Delta T So_1-Ref._e</v>
      </c>
      <c r="AC12" s="117" t="str">
        <f>Y49</f>
        <v>°C</v>
      </c>
      <c r="AD12" s="118">
        <f>Z49</f>
        <v>3</v>
      </c>
    </row>
    <row r="13" spans="1:30" ht="15.5" x14ac:dyDescent="0.35">
      <c r="A13" s="16"/>
      <c r="B13" s="2">
        <v>10</v>
      </c>
      <c r="C13" s="3">
        <f t="shared" si="2"/>
        <v>283.14999999999998</v>
      </c>
      <c r="D13" s="3">
        <f t="shared" si="3"/>
        <v>10</v>
      </c>
      <c r="E13" s="66">
        <f>IF(E14&gt;0.6115,[1]!PropsSI("P","T",C13,"Q",1,$I$2)/1000,E14)</f>
        <v>414.6074673626444</v>
      </c>
      <c r="F13" s="67">
        <f>[1]!PropsSI("D","T",$C13,"Q",0,$I$2)</f>
        <v>1260.9576879668566</v>
      </c>
      <c r="G13" s="67">
        <f>[1]!PropsSI("D","T",$C13,"Q",1,$I$2)</f>
        <v>20.225768355693226</v>
      </c>
      <c r="H13" s="68">
        <f>[1]!PropsSI("H","T",$C13,"Q",0,$I$2)/1000</f>
        <v>213.57723713968767</v>
      </c>
      <c r="I13" s="69">
        <f>[1]!PropsSI("H","T",$C13,"Q",1,$I$2)/1000</f>
        <v>404.31811820731775</v>
      </c>
      <c r="J13" s="1"/>
      <c r="S13" s="87"/>
      <c r="T13" s="88"/>
      <c r="U13" s="35"/>
      <c r="V13" s="85"/>
      <c r="X13" s="113" t="s">
        <v>545</v>
      </c>
      <c r="Y13" s="114" t="s">
        <v>539</v>
      </c>
      <c r="Z13" s="115">
        <f>Z8/Z11</f>
        <v>5.1160955207879981</v>
      </c>
      <c r="AA13" s="79"/>
      <c r="AB13" s="79" t="s">
        <v>639</v>
      </c>
      <c r="AC13" s="81" t="s">
        <v>529</v>
      </c>
      <c r="AD13" s="96">
        <f>(AD12-Z52)/LN(AD12/Z52)</f>
        <v>5.0440264780937447</v>
      </c>
    </row>
    <row r="14" spans="1:30" x14ac:dyDescent="0.35">
      <c r="A14" s="16"/>
      <c r="B14">
        <v>20</v>
      </c>
      <c r="C14" s="3">
        <f t="shared" si="2"/>
        <v>293.14999999999998</v>
      </c>
      <c r="D14" s="3">
        <f t="shared" si="3"/>
        <v>20</v>
      </c>
      <c r="E14" s="66">
        <f>IF(E15&gt;0.6115,[1]!PropsSI("P","T",C14,"Q",1,$I$2)/1000,E15)</f>
        <v>571.70690904444871</v>
      </c>
      <c r="F14" s="67">
        <f>[1]!PropsSI("D","T",$C14,"Q",0,$I$2)</f>
        <v>1225.333402271561</v>
      </c>
      <c r="G14" s="67">
        <f>[1]!PropsSI("D","T",$C14,"Q",1,$I$2)</f>
        <v>27.780264834245202</v>
      </c>
      <c r="H14" s="68">
        <f>[1]!PropsSI("H","T",$C14,"Q",0,$I$2)/1000</f>
        <v>227.4677311704481</v>
      </c>
      <c r="I14" s="69">
        <f>[1]!PropsSI("H","T",$C14,"Q",1,$I$2)/1000</f>
        <v>409.74832087882811</v>
      </c>
      <c r="J14" s="1"/>
      <c r="S14" s="87" t="s">
        <v>557</v>
      </c>
      <c r="T14" s="88" t="s">
        <v>531</v>
      </c>
      <c r="U14" s="127">
        <v>10</v>
      </c>
      <c r="V14" s="85"/>
      <c r="X14" s="79" t="s">
        <v>566</v>
      </c>
      <c r="Y14" s="80" t="s">
        <v>539</v>
      </c>
      <c r="Z14" s="96">
        <f>Z9/Z11</f>
        <v>4.2160955207879978</v>
      </c>
      <c r="AA14" s="79"/>
      <c r="AB14" s="79" t="s">
        <v>640</v>
      </c>
      <c r="AC14" s="81" t="s">
        <v>529</v>
      </c>
      <c r="AD14" s="96">
        <f>(Z52-AD11)/LN(Z52/AD11)</f>
        <v>5.0440264780937447</v>
      </c>
    </row>
    <row r="15" spans="1:30" ht="15.5" x14ac:dyDescent="0.35">
      <c r="A15" s="16"/>
      <c r="B15" s="2">
        <v>30</v>
      </c>
      <c r="C15" s="3">
        <f t="shared" si="2"/>
        <v>303.14999999999998</v>
      </c>
      <c r="D15" s="3">
        <f t="shared" si="3"/>
        <v>30</v>
      </c>
      <c r="E15" s="66">
        <f>IF(E16&gt;0.6115,[1]!PropsSI("P","T",C15,"Q",1,$I$2)/1000,E16)</f>
        <v>770.19630307688453</v>
      </c>
      <c r="F15" s="67">
        <f>[1]!PropsSI("D","T",$C15,"Q",0,$I$2)</f>
        <v>1187.4618543773477</v>
      </c>
      <c r="G15" s="67">
        <f>[1]!PropsSI("D","T",$C15,"Q",1,$I$2)</f>
        <v>37.535297985964178</v>
      </c>
      <c r="H15" s="68">
        <f>[1]!PropsSI("H","T",$C15,"Q",0,$I$2)/1000</f>
        <v>241.72239230865415</v>
      </c>
      <c r="I15" s="69">
        <f>[1]!PropsSI("H","T",$C15,"Q",1,$I$2)/1000</f>
        <v>414.81851182791809</v>
      </c>
      <c r="J15" s="1"/>
      <c r="S15" s="87" t="s">
        <v>627</v>
      </c>
      <c r="T15" s="89" t="s">
        <v>539</v>
      </c>
      <c r="U15" s="127">
        <v>0.8</v>
      </c>
      <c r="V15" s="85"/>
      <c r="X15" s="113" t="s">
        <v>601</v>
      </c>
      <c r="Y15" s="114"/>
      <c r="Z15" s="115">
        <f>Z13/Z4</f>
        <v>0.46487319351635231</v>
      </c>
      <c r="AA15" s="79"/>
      <c r="AB15" s="79"/>
      <c r="AC15" s="79"/>
      <c r="AD15" s="79"/>
    </row>
    <row r="16" spans="1:30" x14ac:dyDescent="0.35">
      <c r="A16" s="16"/>
      <c r="B16">
        <v>40</v>
      </c>
      <c r="C16" s="3">
        <f t="shared" si="2"/>
        <v>313.14999999999998</v>
      </c>
      <c r="D16" s="3">
        <f t="shared" si="3"/>
        <v>40</v>
      </c>
      <c r="E16" s="66">
        <f>IF(E17&gt;0.6115,[1]!PropsSI("P","T",C16,"Q",1,$I$2)/1000,E17)</f>
        <v>1016.5930221206467</v>
      </c>
      <c r="F16" s="67">
        <f>[1]!PropsSI("D","T",$C16,"Q",0,$I$2)</f>
        <v>1146.7392430383748</v>
      </c>
      <c r="G16" s="67">
        <f>[1]!PropsSI("D","T",$C16,"Q",1,$I$2)</f>
        <v>50.085023287240858</v>
      </c>
      <c r="H16" s="68">
        <f>[1]!PropsSI("H","T",$C16,"Q",0,$I$2)/1000</f>
        <v>256.40924455736837</v>
      </c>
      <c r="I16" s="69">
        <f>[1]!PropsSI("H","T",$C16,"Q",1,$I$2)/1000</f>
        <v>419.42852424669871</v>
      </c>
      <c r="J16" s="1"/>
      <c r="S16" s="87" t="s">
        <v>628</v>
      </c>
      <c r="T16" s="89" t="s">
        <v>539</v>
      </c>
      <c r="U16" s="127">
        <v>0.9</v>
      </c>
      <c r="V16" s="85"/>
      <c r="X16" s="79" t="s">
        <v>567</v>
      </c>
      <c r="Y16" s="81" t="s">
        <v>544</v>
      </c>
      <c r="Z16" s="99" cm="1">
        <f t="array" ref="Z16">[1]!PropsSI("Cpmass","T",(U3+U4)/2+273.15,"P",1013000,$U$2)</f>
        <v>4177.0350317889734</v>
      </c>
      <c r="AA16" s="79"/>
      <c r="AB16" s="79" t="s">
        <v>586</v>
      </c>
      <c r="AC16" s="81" t="s">
        <v>38</v>
      </c>
      <c r="AD16" s="68" cm="1">
        <f t="array" ref="AD16">[1]!PropsSI("D","T",(U3+U4)/2+273.15,"P",101300,$U$2)</f>
        <v>994.86747342027388</v>
      </c>
    </row>
    <row r="17" spans="1:30" x14ac:dyDescent="0.35">
      <c r="A17" s="16"/>
      <c r="B17" s="2">
        <v>50</v>
      </c>
      <c r="C17" s="3">
        <f t="shared" si="2"/>
        <v>323.14999999999998</v>
      </c>
      <c r="D17" s="3">
        <f t="shared" si="3"/>
        <v>50</v>
      </c>
      <c r="E17" s="66">
        <f>IF(E18&gt;0.6115,[1]!PropsSI("P","T",C17,"Q",1,$I$2)/1000,E18)</f>
        <v>1317.9054900373355</v>
      </c>
      <c r="F17" s="67">
        <f>[1]!PropsSI("D","T",$C17,"Q",0,$I$2)</f>
        <v>1102.305856171602</v>
      </c>
      <c r="G17" s="67">
        <f>[1]!PropsSI("D","T",$C17,"Q",1,$I$2)</f>
        <v>66.271648532148106</v>
      </c>
      <c r="H17" s="68">
        <f>[1]!PropsSI("H","T",$C17,"Q",0,$I$2)/1000</f>
        <v>271.62315767623505</v>
      </c>
      <c r="I17" s="69">
        <f>[1]!PropsSI("H","T",$C17,"Q",1,$I$2)/1000</f>
        <v>423.43699358719789</v>
      </c>
      <c r="J17" s="1"/>
      <c r="X17" s="79" t="s">
        <v>568</v>
      </c>
      <c r="Y17" s="81" t="s">
        <v>544</v>
      </c>
      <c r="Z17" s="99" cm="1">
        <f t="array" ref="Z17">[1]!PropsSI("Cpmass","T",(U6+U7)/2+273.15,"P",1013000,$U$5)</f>
        <v>1023.2621794554987</v>
      </c>
      <c r="AA17" s="79"/>
      <c r="AB17" s="79" t="s">
        <v>587</v>
      </c>
      <c r="AC17" s="81" t="s">
        <v>38</v>
      </c>
      <c r="AD17" s="68" cm="1">
        <f t="array" ref="AD17">[1]!PropsSI("D","T",(U6+U7)/2+273.15,"P",101300,$U$5)</f>
        <v>1.2717224225635788</v>
      </c>
    </row>
    <row r="18" spans="1:30" x14ac:dyDescent="0.35">
      <c r="A18" s="16"/>
      <c r="B18">
        <v>60</v>
      </c>
      <c r="C18" s="3">
        <f t="shared" si="2"/>
        <v>333.15</v>
      </c>
      <c r="D18" s="3">
        <f t="shared" si="3"/>
        <v>60</v>
      </c>
      <c r="E18" s="66">
        <f>IF(E19&gt;0.6115,[1]!PropsSI("P","T",C18,"Q",1,$I$2)/1000,E19)</f>
        <v>1681.7842182961847</v>
      </c>
      <c r="F18" s="67">
        <f>[1]!PropsSI("D","T",$C18,"Q",0,$I$2)</f>
        <v>1052.8621589388515</v>
      </c>
      <c r="G18" s="67">
        <f>[1]!PropsSI("D","T",$C18,"Q",1,$I$2)</f>
        <v>87.379446329025754</v>
      </c>
      <c r="H18" s="68">
        <f>[1]!PropsSI("H","T",$C18,"Q",0,$I$2)/1000</f>
        <v>287.50469453813434</v>
      </c>
      <c r="I18" s="69">
        <f>[1]!PropsSI("H","T",$C18,"Q",1,$I$2)/1000</f>
        <v>426.62963721191687</v>
      </c>
      <c r="J18" s="1"/>
      <c r="S18" s="84" t="str">
        <f>I2</f>
        <v>R134a</v>
      </c>
      <c r="T18" s="84" t="s">
        <v>642</v>
      </c>
      <c r="U18" s="79" cm="1">
        <f t="array" ref="U18">[1]!PropsSI("GWP100","T",V24,"Q",1,$I$2)</f>
        <v>1430</v>
      </c>
      <c r="X18" s="79" t="s">
        <v>635</v>
      </c>
      <c r="Y18" s="81" t="s">
        <v>540</v>
      </c>
      <c r="Z18" s="101">
        <f>Z8*1000/Z16/(U3-U4)</f>
        <v>0.47880852920293188</v>
      </c>
      <c r="AA18" s="102" t="s">
        <v>541</v>
      </c>
      <c r="AB18" s="94">
        <f>Z18*3600</f>
        <v>1723.7107051305547</v>
      </c>
      <c r="AC18" s="102" t="s">
        <v>542</v>
      </c>
      <c r="AD18" s="101">
        <f>AB18/AD16</f>
        <v>1.7326033378140073</v>
      </c>
    </row>
    <row r="19" spans="1:30" x14ac:dyDescent="0.35">
      <c r="A19" s="16"/>
      <c r="B19" s="2">
        <v>70</v>
      </c>
      <c r="C19" s="3">
        <f t="shared" si="2"/>
        <v>343.15</v>
      </c>
      <c r="D19" s="3">
        <f t="shared" si="3"/>
        <v>70</v>
      </c>
      <c r="E19" s="66">
        <f>IF(E20&gt;0.6115,[1]!PropsSI("P","T",C19,"Q",1,$I$2)/1000,E20)</f>
        <v>2116.8256950330274</v>
      </c>
      <c r="F19" s="67">
        <f>[1]!PropsSI("D","T",$C19,"Q",0,$I$2)</f>
        <v>996.24818800624018</v>
      </c>
      <c r="G19" s="67">
        <f>[1]!PropsSI("D","T",$C19,"Q",1,$I$2)</f>
        <v>115.57150107591021</v>
      </c>
      <c r="H19" s="68">
        <f>[1]!PropsSI("H","T",$C19,"Q",0,$I$2)/1000</f>
        <v>304.28239699810268</v>
      </c>
      <c r="I19" s="69">
        <f>[1]!PropsSI("H","T",$C19,"Q",1,$I$2)/1000</f>
        <v>428.64978201608511</v>
      </c>
      <c r="J19" s="1"/>
      <c r="X19" s="79" t="s">
        <v>636</v>
      </c>
      <c r="Y19" s="81" t="s">
        <v>540</v>
      </c>
      <c r="Z19" s="101">
        <f>Z9*1000/Z17/(U6-U7)</f>
        <v>1.6107007853637789</v>
      </c>
      <c r="AA19" s="102" t="s">
        <v>541</v>
      </c>
      <c r="AB19" s="94">
        <f>Z19*3600</f>
        <v>5798.5228273096045</v>
      </c>
      <c r="AC19" s="102" t="s">
        <v>542</v>
      </c>
      <c r="AD19" s="94">
        <f>AB19/AD17</f>
        <v>4559.5821261221108</v>
      </c>
    </row>
    <row r="20" spans="1:30" x14ac:dyDescent="0.35">
      <c r="A20" s="16"/>
      <c r="B20">
        <v>80</v>
      </c>
      <c r="C20" s="3">
        <f t="shared" si="2"/>
        <v>353.15</v>
      </c>
      <c r="D20" s="3">
        <f t="shared" si="3"/>
        <v>80</v>
      </c>
      <c r="E20" s="66">
        <f>IF(E21&gt;0.6115,[1]!PropsSI("P","T",C20,"Q",1,$I$2)/1000,E21)</f>
        <v>2633.2033284409895</v>
      </c>
      <c r="F20" s="67">
        <f>[1]!PropsSI("D","T",$C20,"Q",0,$I$2)</f>
        <v>928.24441107212226</v>
      </c>
      <c r="G20" s="67">
        <f>[1]!PropsSI("D","T",$C20,"Q",1,$I$2)</f>
        <v>155.07843531840396</v>
      </c>
      <c r="H20" s="68">
        <f>[1]!PropsSI("H","T",$C20,"Q",0,$I$2)/1000</f>
        <v>322.39024697004157</v>
      </c>
      <c r="I20" s="69">
        <f>[1]!PropsSI("H","T",$C20,"Q",1,$I$2)/1000</f>
        <v>428.8135540301335</v>
      </c>
      <c r="J20" s="1"/>
    </row>
    <row r="21" spans="1:30" ht="18.5" x14ac:dyDescent="0.45">
      <c r="A21" s="16"/>
      <c r="B21" s="2">
        <v>90</v>
      </c>
      <c r="C21" s="3">
        <f t="shared" si="2"/>
        <v>363.15</v>
      </c>
      <c r="D21" s="3">
        <f t="shared" si="3"/>
        <v>90</v>
      </c>
      <c r="E21" s="66">
        <f>IF(E22&gt;0.6115,[1]!PropsSI("P","T",C21,"Q",1,$I$2)/1000,E22)</f>
        <v>3244.1826051627795</v>
      </c>
      <c r="F21" s="67">
        <f>[1]!PropsSI("D","T",$C21,"Q",0,$I$2)</f>
        <v>837.82602444386805</v>
      </c>
      <c r="G21" s="67">
        <f>[1]!PropsSI("D","T",$C21,"Q",1,$I$2)</f>
        <v>216.76084966539443</v>
      </c>
      <c r="H21" s="68">
        <f>[1]!PropsSI("H","T",$C21,"Q",0,$I$2)/1000</f>
        <v>342.92817891708268</v>
      </c>
      <c r="I21" s="69">
        <f>[1]!PropsSI("H","T",$C21,"Q",1,$I$2)/1000</f>
        <v>425.41558324557997</v>
      </c>
      <c r="J21" s="1"/>
      <c r="S21" s="100" t="s">
        <v>599</v>
      </c>
      <c r="T21" s="71"/>
      <c r="U21" s="120">
        <v>1</v>
      </c>
      <c r="V21" s="120">
        <v>2</v>
      </c>
      <c r="W21" s="120">
        <v>3</v>
      </c>
      <c r="X21" s="120" t="s">
        <v>607</v>
      </c>
      <c r="Y21" s="120">
        <v>4</v>
      </c>
      <c r="Z21" s="120">
        <v>5</v>
      </c>
      <c r="AA21" s="120">
        <v>6</v>
      </c>
      <c r="AB21" s="120">
        <v>7</v>
      </c>
      <c r="AD21" t="s">
        <v>234</v>
      </c>
    </row>
    <row r="22" spans="1:30" x14ac:dyDescent="0.35">
      <c r="A22" s="16"/>
      <c r="B22">
        <v>100</v>
      </c>
      <c r="C22" s="3">
        <f t="shared" si="2"/>
        <v>373.15</v>
      </c>
      <c r="D22" s="3">
        <f t="shared" si="3"/>
        <v>100</v>
      </c>
      <c r="E22" s="66">
        <f>IF(E23&gt;0.6115,[1]!PropsSI("P","T",C22,"Q",1,$I$2)/1000,E23)</f>
        <v>3975.3933425723631</v>
      </c>
      <c r="F22" s="67">
        <f>[1]!PropsSI("D","T",$C22,"Q",0,$I$2)</f>
        <v>651.11449987754486</v>
      </c>
      <c r="G22" s="67">
        <f>[1]!PropsSI("D","T",$C22,"Q",1,$I$2)</f>
        <v>393.04566947906972</v>
      </c>
      <c r="H22" s="68">
        <f>[1]!PropsSI("H","T",$C22,"Q",0,$I$2)/1000</f>
        <v>373.30415759174042</v>
      </c>
      <c r="I22" s="69">
        <f>[1]!PropsSI("H","T",$C22,"Q",1,$I$2)/1000</f>
        <v>404.45940776519967</v>
      </c>
      <c r="J22" s="1"/>
      <c r="S22" s="71"/>
      <c r="T22" s="71"/>
      <c r="U22" s="120" t="s">
        <v>588</v>
      </c>
      <c r="V22" s="120" t="s">
        <v>589</v>
      </c>
      <c r="W22" s="120" t="s">
        <v>590</v>
      </c>
      <c r="X22" s="120" t="s">
        <v>591</v>
      </c>
      <c r="Y22" s="120" t="s">
        <v>593</v>
      </c>
      <c r="Z22" s="120" t="s">
        <v>592</v>
      </c>
      <c r="AA22" s="120" t="s">
        <v>597</v>
      </c>
      <c r="AB22" s="120" t="s">
        <v>594</v>
      </c>
      <c r="AD22" t="s">
        <v>119</v>
      </c>
    </row>
    <row r="23" spans="1:30" x14ac:dyDescent="0.35">
      <c r="A23" s="16"/>
      <c r="B23" s="2">
        <v>110</v>
      </c>
      <c r="C23" s="3">
        <f t="shared" si="2"/>
        <v>374.21</v>
      </c>
      <c r="D23" s="3">
        <f t="shared" si="3"/>
        <v>101.06</v>
      </c>
      <c r="E23" s="66">
        <f>IF(E24&gt;0.6115,[1]!PropsSI("P","T",C23,"Q",1,$I$2)/1000,E24)</f>
        <v>4059.1115388408266</v>
      </c>
      <c r="F23" s="67">
        <f>[1]!PropsSI("D","T",$C23,"Q",0,$I$2)</f>
        <v>511.89995169599996</v>
      </c>
      <c r="G23" s="67">
        <f>[1]!PropsSI("D","T",$C23,"Q",1,$I$2)</f>
        <v>511.89995169599996</v>
      </c>
      <c r="H23" s="68">
        <f>[1]!PropsSI("H","T",$C23,"Q",0,$I$2)/1000</f>
        <v>389.63886644058454</v>
      </c>
      <c r="I23" s="69">
        <f>[1]!PropsSI("H","T",$C23,"Q",1,$I$2)/1000</f>
        <v>389.63886644058454</v>
      </c>
      <c r="J23" s="1"/>
      <c r="S23" s="121" t="s">
        <v>534</v>
      </c>
      <c r="T23" s="122" t="s">
        <v>529</v>
      </c>
      <c r="U23" s="123">
        <f>U6-U12-U10</f>
        <v>-1</v>
      </c>
      <c r="V23" s="123">
        <f>U23</f>
        <v>-1</v>
      </c>
      <c r="W23" s="123">
        <f>V23+U12</f>
        <v>4</v>
      </c>
      <c r="X23" s="123">
        <f>X24-273.15</f>
        <v>47.224801690868048</v>
      </c>
      <c r="Y23" s="123">
        <f>Y24-273.15</f>
        <v>53.378009276034788</v>
      </c>
      <c r="Z23" s="121">
        <f>U3+U9</f>
        <v>38</v>
      </c>
      <c r="AA23" s="123">
        <f>Z23</f>
        <v>38</v>
      </c>
      <c r="AB23" s="123">
        <f>AA23-U11</f>
        <v>35</v>
      </c>
    </row>
    <row r="24" spans="1:30" x14ac:dyDescent="0.35">
      <c r="A24" s="16"/>
      <c r="B24">
        <v>120</v>
      </c>
      <c r="C24" s="3">
        <f t="shared" si="2"/>
        <v>374.21</v>
      </c>
      <c r="D24" s="3">
        <f t="shared" si="3"/>
        <v>101.06</v>
      </c>
      <c r="E24" s="66">
        <f>IF(E25&gt;0.6115,[1]!PropsSI("P","T",C24,"Q",1,$I$2)/1000,E25)</f>
        <v>4059.1115388408266</v>
      </c>
      <c r="F24" s="67">
        <f>[1]!PropsSI("D","T",$C24,"Q",0,$I$2)</f>
        <v>511.89995169599996</v>
      </c>
      <c r="G24" s="67">
        <f>[1]!PropsSI("D","T",$C24,"Q",1,$I$2)</f>
        <v>511.89995169599996</v>
      </c>
      <c r="H24" s="68">
        <f>[1]!PropsSI("H","T",$C24,"Q",0,$I$2)/1000</f>
        <v>389.63886644058454</v>
      </c>
      <c r="I24" s="69">
        <f>[1]!PropsSI("H","T",$C24,"Q",1,$I$2)/1000</f>
        <v>389.63886644058454</v>
      </c>
      <c r="J24" s="1"/>
      <c r="S24" s="71" t="s">
        <v>338</v>
      </c>
      <c r="T24" s="77" t="s">
        <v>1</v>
      </c>
      <c r="U24" s="72">
        <f t="shared" ref="U24:V24" si="4">U23+273.15</f>
        <v>272.14999999999998</v>
      </c>
      <c r="V24" s="72">
        <f t="shared" si="4"/>
        <v>272.14999999999998</v>
      </c>
      <c r="W24" s="72">
        <f>W23+273.15</f>
        <v>277.14999999999998</v>
      </c>
      <c r="X24" s="72" cm="1">
        <f t="array" ref="X24">[1]!PropsSI("T","P",X25,"H",X27,$I$2)</f>
        <v>320.37480169086803</v>
      </c>
      <c r="Y24" s="72" cm="1">
        <f t="array" ref="Y24">[1]!PropsSI("T","P",Y25,"H",Y27,$I$2)</f>
        <v>326.52800927603477</v>
      </c>
      <c r="Z24" s="72">
        <f>Z23+273.15</f>
        <v>311.14999999999998</v>
      </c>
      <c r="AA24" s="72">
        <f>AA23+273.15</f>
        <v>311.14999999999998</v>
      </c>
      <c r="AB24" s="72">
        <f>AB23+273.15</f>
        <v>308.14999999999998</v>
      </c>
    </row>
    <row r="25" spans="1:30" x14ac:dyDescent="0.35">
      <c r="A25" s="16"/>
      <c r="B25" s="2">
        <v>130</v>
      </c>
      <c r="C25" s="3">
        <f t="shared" si="2"/>
        <v>374.21</v>
      </c>
      <c r="D25" s="3">
        <f t="shared" si="3"/>
        <v>101.06</v>
      </c>
      <c r="E25" s="66">
        <f>IF(E26&gt;0.6115,[1]!PropsSI("P","T",C25,"Q",1,$I$2)/1000,E26)</f>
        <v>4059.1115388408266</v>
      </c>
      <c r="F25" s="67">
        <f>[1]!PropsSI("D","T",$C25,"Q",0,$I$2)</f>
        <v>511.89995169599996</v>
      </c>
      <c r="G25" s="67">
        <f>[1]!PropsSI("D","T",$C25,"Q",1,$I$2)</f>
        <v>511.89995169599996</v>
      </c>
      <c r="H25" s="68">
        <f>[1]!PropsSI("H","T",$C25,"Q",0,$I$2)/1000</f>
        <v>389.63886644058454</v>
      </c>
      <c r="I25" s="69">
        <f>[1]!PropsSI("H","T",$C25,"Q",1,$I$2)/1000</f>
        <v>389.63886644058454</v>
      </c>
      <c r="J25" s="1"/>
      <c r="S25" s="71" t="s">
        <v>532</v>
      </c>
      <c r="T25" s="77" t="s">
        <v>536</v>
      </c>
      <c r="U25" s="73">
        <f>V25</f>
        <v>282341.36167112482</v>
      </c>
      <c r="V25" s="73" cm="1">
        <f t="array" ref="V25">[1]!PropsSI("P","T",V24,"Q",1,$I$2)</f>
        <v>282341.36167112482</v>
      </c>
      <c r="W25" s="73">
        <f>V25</f>
        <v>282341.36167112482</v>
      </c>
      <c r="X25" s="73">
        <f>AA25</f>
        <v>963152.65663864126</v>
      </c>
      <c r="Y25" s="73">
        <f>AA25</f>
        <v>963152.65663864126</v>
      </c>
      <c r="Z25" s="73">
        <f>AA25</f>
        <v>963152.65663864126</v>
      </c>
      <c r="AA25" s="73" cm="1">
        <f t="array" ref="AA25">[1]!PropsSI("P","T",AA24,"Q",1,$I$2)</f>
        <v>963152.65663864126</v>
      </c>
      <c r="AB25" s="73">
        <f>AA25</f>
        <v>963152.65663864126</v>
      </c>
      <c r="AC25" t="s">
        <v>546</v>
      </c>
      <c r="AD25" t="s">
        <v>547</v>
      </c>
    </row>
    <row r="26" spans="1:30" x14ac:dyDescent="0.35">
      <c r="A26" s="16"/>
      <c r="B26">
        <v>140</v>
      </c>
      <c r="C26" s="3">
        <f t="shared" si="2"/>
        <v>374.21</v>
      </c>
      <c r="D26" s="3">
        <f t="shared" si="3"/>
        <v>101.06</v>
      </c>
      <c r="E26" s="66">
        <f>IF(E27&gt;0.6115,[1]!PropsSI("P","T",C26,"Q",1,$I$2)/1000,E27)</f>
        <v>4059.1115388408266</v>
      </c>
      <c r="F26" s="67">
        <f>[1]!PropsSI("D","T",$C26,"Q",0,$I$2)</f>
        <v>511.89995169599996</v>
      </c>
      <c r="G26" s="67">
        <f>[1]!PropsSI("D","T",$C26,"Q",1,$I$2)</f>
        <v>511.89995169599996</v>
      </c>
      <c r="H26" s="68">
        <f>[1]!PropsSI("H","T",$C26,"Q",0,$I$2)/1000</f>
        <v>389.63886644058454</v>
      </c>
      <c r="I26" s="69">
        <f>[1]!PropsSI("H","T",$C26,"Q",1,$I$2)/1000</f>
        <v>389.63886644058454</v>
      </c>
      <c r="J26" s="1"/>
      <c r="S26" s="121"/>
      <c r="T26" s="124" t="s">
        <v>548</v>
      </c>
      <c r="U26" s="125">
        <f>U25/100000</f>
        <v>2.8234136167112482</v>
      </c>
      <c r="V26" s="125">
        <f t="shared" ref="V26:AB26" si="5">V25/100000</f>
        <v>2.8234136167112482</v>
      </c>
      <c r="W26" s="125">
        <f t="shared" si="5"/>
        <v>2.8234136167112482</v>
      </c>
      <c r="X26" s="125">
        <f t="shared" si="5"/>
        <v>9.6315265663864125</v>
      </c>
      <c r="Y26" s="125">
        <f t="shared" si="5"/>
        <v>9.6315265663864125</v>
      </c>
      <c r="Z26" s="125">
        <f t="shared" si="5"/>
        <v>9.6315265663864125</v>
      </c>
      <c r="AA26" s="125">
        <f t="shared" si="5"/>
        <v>9.6315265663864125</v>
      </c>
      <c r="AB26" s="125">
        <f t="shared" si="5"/>
        <v>9.6315265663864125</v>
      </c>
    </row>
    <row r="27" spans="1:30" x14ac:dyDescent="0.35">
      <c r="A27" s="16"/>
      <c r="B27" s="2">
        <v>150</v>
      </c>
      <c r="C27" s="3">
        <f t="shared" si="2"/>
        <v>374.21</v>
      </c>
      <c r="D27" s="3">
        <f t="shared" si="3"/>
        <v>101.06</v>
      </c>
      <c r="E27" s="66">
        <f>IF(E28&gt;0.6115,[1]!PropsSI("P","T",C27,"Q",1,$I$2)/1000,E28)</f>
        <v>4059.1115388408266</v>
      </c>
      <c r="F27" s="67">
        <f>[1]!PropsSI("D","T",$C27,"Q",0,$I$2)</f>
        <v>511.89995169599996</v>
      </c>
      <c r="G27" s="67">
        <f>[1]!PropsSI("D","T",$C27,"Q",1,$I$2)</f>
        <v>511.89995169599996</v>
      </c>
      <c r="H27" s="68">
        <f>[1]!PropsSI("H","T",$C27,"Q",0,$I$2)/1000</f>
        <v>389.63886644058454</v>
      </c>
      <c r="I27" s="69">
        <f>[1]!PropsSI("H","T",$C27,"Q",1,$I$2)/1000</f>
        <v>389.63886644058454</v>
      </c>
      <c r="J27" s="1"/>
      <c r="S27" s="71" t="s">
        <v>533</v>
      </c>
      <c r="T27" s="77" t="s">
        <v>24</v>
      </c>
      <c r="U27" s="73">
        <f>AB27</f>
        <v>248972.2964659924</v>
      </c>
      <c r="V27" s="73">
        <f>[1]!PropsSI("H","T",$V24,"Q",1,$I$2)</f>
        <v>398018.76691710815</v>
      </c>
      <c r="W27" s="73" cm="1">
        <f t="array" ref="W27">[1]!PropsSI("H","T",W24,"P",W25,$I$2)</f>
        <v>402464.28084484779</v>
      </c>
      <c r="X27" s="73" cm="1">
        <f t="array" ref="X27">[1]!PropsSI("H","P",X25,"S",X28,$I$2)</f>
        <v>428676.73931687989</v>
      </c>
      <c r="Y27" s="73">
        <f>(X27-W27)/U15+W27</f>
        <v>435229.85393488791</v>
      </c>
      <c r="Z27" s="73">
        <f>[1]!PropsSI("H","T",$Z24,"Q",1,$I$2)</f>
        <v>418549.33846969542</v>
      </c>
      <c r="AA27" s="73">
        <f>[1]!PropsSI("H","T",$AA24,"Q",0,$I$2)</f>
        <v>253433.2437597551</v>
      </c>
      <c r="AB27" s="73">
        <f>AA27-(U11*AB29)</f>
        <v>248972.2964659924</v>
      </c>
      <c r="AC27">
        <f>AA27-(U11*AB29)</f>
        <v>248972.2964659924</v>
      </c>
      <c r="AD27" s="2" cm="1">
        <f t="array" ref="AD27">[1]!PropsSI("H","P",AB25,"T",AB24,$I$2)</f>
        <v>248998.78520528018</v>
      </c>
    </row>
    <row r="28" spans="1:30" x14ac:dyDescent="0.35">
      <c r="A28" s="16"/>
      <c r="B28">
        <v>160</v>
      </c>
      <c r="C28" s="3">
        <f t="shared" si="2"/>
        <v>374.21</v>
      </c>
      <c r="D28" s="3">
        <f t="shared" si="3"/>
        <v>101.06</v>
      </c>
      <c r="E28" s="66">
        <f>IF(E29&gt;0.6115,[1]!PropsSI("P","T",C28,"Q",1,$I$2)/1000,E29)</f>
        <v>4059.1115388408266</v>
      </c>
      <c r="F28" s="67">
        <f>[1]!PropsSI("D","T",$C28,"Q",0,$I$2)</f>
        <v>511.89995169599996</v>
      </c>
      <c r="G28" s="67">
        <f>[1]!PropsSI("D","T",$C28,"Q",1,$I$2)</f>
        <v>511.89995169599996</v>
      </c>
      <c r="H28" s="68">
        <f>[1]!PropsSI("H","T",$C28,"Q",0,$I$2)/1000</f>
        <v>389.63886644058454</v>
      </c>
      <c r="I28" s="69">
        <f>[1]!PropsSI("H","T",$C28,"Q",1,$I$2)/1000</f>
        <v>389.63886644058454</v>
      </c>
      <c r="J28" s="1"/>
      <c r="S28" s="71" t="s">
        <v>329</v>
      </c>
      <c r="T28" s="77" t="s">
        <v>24</v>
      </c>
      <c r="U28" s="73"/>
      <c r="V28" s="73"/>
      <c r="W28" s="73" cm="1">
        <f t="array" ref="W28">[1]!PropsSI("S","P",W25,"T",W24,$I$2)</f>
        <v>1743.8343645807581</v>
      </c>
      <c r="X28" s="73">
        <f>W28</f>
        <v>1743.8343645807581</v>
      </c>
      <c r="Y28" s="73"/>
      <c r="Z28" s="73"/>
      <c r="AA28" s="73"/>
      <c r="AB28" s="73"/>
    </row>
    <row r="29" spans="1:30" x14ac:dyDescent="0.35">
      <c r="A29" s="16"/>
      <c r="B29" s="2">
        <v>170</v>
      </c>
      <c r="C29" s="3">
        <f t="shared" si="2"/>
        <v>374.21</v>
      </c>
      <c r="D29" s="3">
        <f t="shared" si="3"/>
        <v>101.06</v>
      </c>
      <c r="E29" s="66">
        <f>IF(E30&gt;0.6115,[1]!PropsSI("P","T",C29,"Q",1,$I$2)/1000,E30)</f>
        <v>4059.1115388408266</v>
      </c>
      <c r="F29" s="67">
        <f>[1]!PropsSI("D","T",$C29,"Q",0,$I$2)</f>
        <v>511.89995169599996</v>
      </c>
      <c r="G29" s="67">
        <f>[1]!PropsSI("D","T",$C29,"Q",1,$I$2)</f>
        <v>511.89995169599996</v>
      </c>
      <c r="H29" s="68">
        <f>[1]!PropsSI("H","T",$C29,"Q",0,$I$2)/1000</f>
        <v>389.63886644058454</v>
      </c>
      <c r="I29" s="69">
        <f>[1]!PropsSI("H","T",$C29,"Q",1,$I$2)/1000</f>
        <v>389.63886644058454</v>
      </c>
      <c r="J29" s="1"/>
      <c r="S29" s="71" t="s">
        <v>535</v>
      </c>
      <c r="T29" s="77" t="s">
        <v>537</v>
      </c>
      <c r="U29" s="73"/>
      <c r="V29" s="73"/>
      <c r="W29" s="73"/>
      <c r="X29" s="73"/>
      <c r="Y29" s="73"/>
      <c r="Z29" s="73"/>
      <c r="AA29" s="73"/>
      <c r="AB29" s="73" cm="1">
        <f t="array" ref="AB29">[1]!PropsSI("Cpmass","P",AA25,"Q",0,$I$2)</f>
        <v>1486.9824312542369</v>
      </c>
    </row>
    <row r="30" spans="1:30" x14ac:dyDescent="0.35">
      <c r="A30" s="16"/>
      <c r="B30">
        <v>180</v>
      </c>
      <c r="C30" s="3">
        <f t="shared" si="2"/>
        <v>374.21</v>
      </c>
      <c r="D30" s="3">
        <f t="shared" si="3"/>
        <v>101.06</v>
      </c>
      <c r="E30" s="66">
        <f>IF(E31&gt;0.6115,[1]!PropsSI("P","T",C30,"Q",1,$I$2)/1000,E31)</f>
        <v>4059.1115388408266</v>
      </c>
      <c r="F30" s="67">
        <f>[1]!PropsSI("D","T",$C30,"Q",0,$I$2)</f>
        <v>511.89995169599996</v>
      </c>
      <c r="G30" s="67">
        <f>[1]!PropsSI("D","T",$C30,"Q",1,$I$2)</f>
        <v>511.89995169599996</v>
      </c>
      <c r="H30" s="68">
        <f>[1]!PropsSI("H","T",$C30,"Q",0,$I$2)/1000</f>
        <v>389.63886644058454</v>
      </c>
      <c r="I30" s="69">
        <f>[1]!PropsSI("H","T",$C30,"Q",1,$I$2)/1000</f>
        <v>389.63886644058454</v>
      </c>
      <c r="J30" s="1"/>
      <c r="T30" s="27"/>
    </row>
    <row r="31" spans="1:30" x14ac:dyDescent="0.35">
      <c r="A31" s="16"/>
      <c r="B31" s="2">
        <v>190</v>
      </c>
      <c r="C31" s="3">
        <f t="shared" si="2"/>
        <v>374.21</v>
      </c>
      <c r="D31" s="3">
        <f t="shared" si="3"/>
        <v>101.06</v>
      </c>
      <c r="E31" s="66">
        <f>IF(E32&gt;0.6115,[1]!PropsSI("P","T",C31,"Q",1,$I$2)/1000,E32)</f>
        <v>4059.1115388408266</v>
      </c>
      <c r="F31" s="67">
        <f>[1]!PropsSI("D","T",$C31,"Q",0,$I$2)</f>
        <v>511.89995169599996</v>
      </c>
      <c r="G31" s="67">
        <f>[1]!PropsSI("D","T",$C31,"Q",1,$I$2)</f>
        <v>511.89995169599996</v>
      </c>
      <c r="H31" s="68">
        <f>[1]!PropsSI("H","T",$C31,"Q",0,$I$2)/1000</f>
        <v>389.63886644058454</v>
      </c>
      <c r="I31" s="69">
        <f>[1]!PropsSI("H","T",$C31,"Q",1,$I$2)/1000</f>
        <v>389.63886644058454</v>
      </c>
      <c r="J31" s="1"/>
      <c r="T31" s="78" t="s">
        <v>608</v>
      </c>
      <c r="U31" s="119">
        <v>1</v>
      </c>
      <c r="V31" s="119">
        <v>2</v>
      </c>
      <c r="W31" s="119">
        <v>3</v>
      </c>
      <c r="X31" s="119">
        <v>4</v>
      </c>
      <c r="Y31" s="119">
        <v>5</v>
      </c>
      <c r="Z31" s="119">
        <v>6</v>
      </c>
      <c r="AA31" s="119">
        <v>7</v>
      </c>
      <c r="AB31" s="119">
        <v>1</v>
      </c>
    </row>
    <row r="32" spans="1:30" ht="18.5" x14ac:dyDescent="0.45">
      <c r="A32" s="16"/>
      <c r="B32">
        <v>200</v>
      </c>
      <c r="C32" s="3">
        <f t="shared" si="2"/>
        <v>374.21</v>
      </c>
      <c r="D32" s="3">
        <f t="shared" si="3"/>
        <v>101.06</v>
      </c>
      <c r="E32" s="66">
        <f>IF(E33&gt;0.6115,[1]!PropsSI("P","T",C32,"Q",1,$I$2)/1000,E33)</f>
        <v>4059.1115388408266</v>
      </c>
      <c r="F32" s="67">
        <f>[1]!PropsSI("D","T",$C32,"Q",0,$I$2)</f>
        <v>511.89995169599996</v>
      </c>
      <c r="G32" s="67">
        <f>[1]!PropsSI("D","T",$C32,"Q",1,$I$2)</f>
        <v>511.89995169599996</v>
      </c>
      <c r="H32" s="68">
        <f>[1]!PropsSI("H","T",$C32,"Q",0,$I$2)/1000</f>
        <v>389.63886644058454</v>
      </c>
      <c r="I32" s="69">
        <f>[1]!PropsSI("H","T",$C32,"Q",1,$I$2)/1000</f>
        <v>389.63886644058454</v>
      </c>
      <c r="J32" s="1"/>
      <c r="S32" s="86" t="s">
        <v>581</v>
      </c>
      <c r="T32" s="78"/>
      <c r="U32" s="119" t="s">
        <v>595</v>
      </c>
      <c r="V32" s="119" t="s">
        <v>589</v>
      </c>
      <c r="W32" s="119" t="s">
        <v>606</v>
      </c>
      <c r="X32" s="119" t="s">
        <v>596</v>
      </c>
      <c r="Y32" s="119" t="s">
        <v>598</v>
      </c>
      <c r="Z32" s="119" t="s">
        <v>597</v>
      </c>
      <c r="AA32" s="119" t="s">
        <v>594</v>
      </c>
      <c r="AB32" s="119" t="s">
        <v>595</v>
      </c>
    </row>
    <row r="33" spans="1:28" x14ac:dyDescent="0.35">
      <c r="A33" s="16"/>
      <c r="B33" s="2">
        <v>210</v>
      </c>
      <c r="C33" s="3">
        <f t="shared" si="2"/>
        <v>374.21</v>
      </c>
      <c r="D33" s="3">
        <f t="shared" si="3"/>
        <v>101.06</v>
      </c>
      <c r="E33" s="66">
        <f>IF(E34&gt;0.6115,[1]!PropsSI("P","T",C33,"Q",1,$I$2)/1000,E34)</f>
        <v>4059.1115388408266</v>
      </c>
      <c r="F33" s="67">
        <f>[1]!PropsSI("D","T",$C33,"Q",0,$I$2)</f>
        <v>511.89995169599996</v>
      </c>
      <c r="G33" s="67">
        <f>[1]!PropsSI("D","T",$C33,"Q",1,$I$2)</f>
        <v>511.89995169599996</v>
      </c>
      <c r="H33" s="68">
        <f>[1]!PropsSI("H","T",$C33,"Q",0,$I$2)/1000</f>
        <v>389.63886644058454</v>
      </c>
      <c r="I33" s="69">
        <f>[1]!PropsSI("H","T",$C33,"Q",1,$I$2)/1000</f>
        <v>389.63886644058454</v>
      </c>
      <c r="J33" s="1"/>
      <c r="S33" s="74" t="s">
        <v>338</v>
      </c>
      <c r="T33" s="78" t="s">
        <v>529</v>
      </c>
      <c r="U33" s="75">
        <f>U23</f>
        <v>-1</v>
      </c>
      <c r="V33" s="75">
        <f>V23</f>
        <v>-1</v>
      </c>
      <c r="W33" s="75">
        <f>W23</f>
        <v>4</v>
      </c>
      <c r="X33" s="75">
        <f>Y23</f>
        <v>53.378009276034788</v>
      </c>
      <c r="Y33" s="75">
        <f>Z23</f>
        <v>38</v>
      </c>
      <c r="Z33" s="75">
        <f>AA23</f>
        <v>38</v>
      </c>
      <c r="AA33" s="75">
        <f>AB23</f>
        <v>35</v>
      </c>
      <c r="AB33" s="75">
        <f>U33</f>
        <v>-1</v>
      </c>
    </row>
    <row r="34" spans="1:28" x14ac:dyDescent="0.35">
      <c r="A34" s="16"/>
      <c r="B34">
        <v>220</v>
      </c>
      <c r="C34" s="3">
        <f t="shared" si="2"/>
        <v>374.21</v>
      </c>
      <c r="D34" s="3">
        <f t="shared" si="3"/>
        <v>101.06</v>
      </c>
      <c r="E34" s="66">
        <f>IF(E35&gt;0.6115,[1]!PropsSI("P","T",C34,"Q",1,$I$2)/1000,E35)</f>
        <v>4059.1115388408266</v>
      </c>
      <c r="F34" s="67">
        <f>[1]!PropsSI("D","T",$C34,"Q",0,$I$2)</f>
        <v>511.89995169599996</v>
      </c>
      <c r="G34" s="67">
        <f>[1]!PropsSI("D","T",$C34,"Q",1,$I$2)</f>
        <v>511.89995169599996</v>
      </c>
      <c r="H34" s="68">
        <f>[1]!PropsSI("H","T",$C34,"Q",0,$I$2)/1000</f>
        <v>389.63886644058454</v>
      </c>
      <c r="I34" s="69">
        <f>[1]!PropsSI("H","T",$C34,"Q",1,$I$2)/1000</f>
        <v>389.63886644058454</v>
      </c>
      <c r="J34" s="1"/>
      <c r="S34" s="74" t="s">
        <v>532</v>
      </c>
      <c r="T34" s="78" t="s">
        <v>96</v>
      </c>
      <c r="U34" s="75">
        <f>U25/1000</f>
        <v>282.34136167112484</v>
      </c>
      <c r="V34" s="75">
        <f>V25/1000</f>
        <v>282.34136167112484</v>
      </c>
      <c r="W34" s="75">
        <f>W25/1000</f>
        <v>282.34136167112484</v>
      </c>
      <c r="X34" s="75">
        <f>Y25/1000</f>
        <v>963.15265663864125</v>
      </c>
      <c r="Y34" s="75">
        <f>Z25/1000</f>
        <v>963.15265663864125</v>
      </c>
      <c r="Z34" s="75">
        <f>AA25/1000</f>
        <v>963.15265663864125</v>
      </c>
      <c r="AA34" s="75">
        <f>AB25/1000</f>
        <v>963.15265663864125</v>
      </c>
      <c r="AB34" s="75">
        <f>U34</f>
        <v>282.34136167112484</v>
      </c>
    </row>
    <row r="35" spans="1:28" x14ac:dyDescent="0.35">
      <c r="A35" s="16"/>
      <c r="B35" s="2">
        <v>230</v>
      </c>
      <c r="C35" s="3">
        <f t="shared" si="2"/>
        <v>374.21</v>
      </c>
      <c r="D35" s="3">
        <f t="shared" si="3"/>
        <v>101.06</v>
      </c>
      <c r="E35" s="66">
        <f>IF(E36&gt;0.6115,[1]!PropsSI("P","T",C35,"Q",1,$I$2)/1000,E36)</f>
        <v>4059.1115388408266</v>
      </c>
      <c r="F35" s="67">
        <f>[1]!PropsSI("D","T",$C35,"Q",0,$I$2)</f>
        <v>511.89995169599996</v>
      </c>
      <c r="G35" s="67">
        <f>[1]!PropsSI("D","T",$C35,"Q",1,$I$2)</f>
        <v>511.89995169599996</v>
      </c>
      <c r="H35" s="68">
        <f>[1]!PropsSI("H","T",$C35,"Q",0,$I$2)/1000</f>
        <v>389.63886644058454</v>
      </c>
      <c r="I35" s="69">
        <f>[1]!PropsSI("H","T",$C35,"Q",1,$I$2)/1000</f>
        <v>389.63886644058454</v>
      </c>
      <c r="J35" s="1"/>
      <c r="S35" s="74" t="s">
        <v>533</v>
      </c>
      <c r="T35" s="78" t="s">
        <v>97</v>
      </c>
      <c r="U35" s="76">
        <f>U27/1000</f>
        <v>248.9722964659924</v>
      </c>
      <c r="V35" s="76">
        <f>V27/1000</f>
        <v>398.01876691710817</v>
      </c>
      <c r="W35" s="76">
        <f>W27/1000</f>
        <v>402.46428084484779</v>
      </c>
      <c r="X35" s="76">
        <f>Y27/1000</f>
        <v>435.2298539348879</v>
      </c>
      <c r="Y35" s="76">
        <f>Z27/1000</f>
        <v>418.54933846969544</v>
      </c>
      <c r="Z35" s="76">
        <f>AA27/1000</f>
        <v>253.4332437597551</v>
      </c>
      <c r="AA35" s="76">
        <f>AB27/1000</f>
        <v>248.9722964659924</v>
      </c>
      <c r="AB35" s="75">
        <f>U35</f>
        <v>248.9722964659924</v>
      </c>
    </row>
    <row r="36" spans="1:28" x14ac:dyDescent="0.35">
      <c r="A36" s="16"/>
      <c r="B36">
        <v>240</v>
      </c>
      <c r="C36" s="3">
        <f t="shared" si="2"/>
        <v>374.21</v>
      </c>
      <c r="D36" s="3">
        <f t="shared" si="3"/>
        <v>101.06</v>
      </c>
      <c r="E36" s="66">
        <f>IF(E37&gt;0.6115,[1]!PropsSI("P","T",C36,"Q",1,$I$2)/1000,E37)</f>
        <v>4059.1115388408266</v>
      </c>
      <c r="F36" s="67">
        <f>[1]!PropsSI("D","T",$C36,"Q",0,$I$2)</f>
        <v>511.89995169599996</v>
      </c>
      <c r="G36" s="67">
        <f>[1]!PropsSI("D","T",$C36,"Q",1,$I$2)</f>
        <v>511.89995169599996</v>
      </c>
      <c r="H36" s="68">
        <f>[1]!PropsSI("H","T",$C36,"Q",0,$I$2)/1000</f>
        <v>389.63886644058454</v>
      </c>
      <c r="I36" s="69">
        <f>[1]!PropsSI("H","T",$C36,"Q",1,$I$2)/1000</f>
        <v>389.63886644058454</v>
      </c>
      <c r="J36" s="1"/>
      <c r="S36" s="74"/>
      <c r="T36" s="78"/>
      <c r="U36" s="74"/>
      <c r="V36" s="74"/>
      <c r="W36" s="74"/>
      <c r="X36" s="74"/>
      <c r="Y36" s="74"/>
      <c r="Z36" s="74"/>
      <c r="AA36" s="74"/>
      <c r="AB36" s="74"/>
    </row>
    <row r="37" spans="1:28" x14ac:dyDescent="0.35">
      <c r="A37" s="16"/>
      <c r="B37" s="2">
        <v>250</v>
      </c>
      <c r="C37" s="3">
        <f t="shared" si="2"/>
        <v>374.21</v>
      </c>
      <c r="D37" s="3">
        <f t="shared" si="3"/>
        <v>101.06</v>
      </c>
      <c r="E37" s="66">
        <f>IF(E38&gt;0.6115,[1]!PropsSI("P","T",C37,"Q",1,$I$2)/1000,E38)</f>
        <v>4059.1115388408266</v>
      </c>
      <c r="F37" s="67">
        <f>[1]!PropsSI("D","T",$C37,"Q",0,$I$2)</f>
        <v>511.89995169599996</v>
      </c>
      <c r="G37" s="67">
        <f>[1]!PropsSI("D","T",$C37,"Q",1,$I$2)</f>
        <v>511.89995169599996</v>
      </c>
      <c r="H37" s="68">
        <f>[1]!PropsSI("H","T",$C37,"Q",0,$I$2)/1000</f>
        <v>389.63886644058454</v>
      </c>
      <c r="I37" s="69">
        <f>[1]!PropsSI("H","T",$C37,"Q",1,$I$2)/1000</f>
        <v>389.63886644058454</v>
      </c>
      <c r="J37" s="1"/>
      <c r="S37" s="74"/>
      <c r="T37" s="78"/>
      <c r="U37" s="74" t="s">
        <v>584</v>
      </c>
      <c r="V37" s="74" t="s">
        <v>585</v>
      </c>
      <c r="W37" s="74"/>
      <c r="X37" s="74"/>
      <c r="Y37" s="74"/>
      <c r="Z37" s="74"/>
      <c r="AA37" s="74"/>
      <c r="AB37" s="74"/>
    </row>
    <row r="38" spans="1:28" x14ac:dyDescent="0.35">
      <c r="A38" s="16"/>
      <c r="B38">
        <v>260</v>
      </c>
      <c r="C38" s="3">
        <f t="shared" si="2"/>
        <v>374.21</v>
      </c>
      <c r="D38" s="3">
        <f t="shared" si="3"/>
        <v>101.06</v>
      </c>
      <c r="E38" s="66">
        <f>IF(E39&gt;0.6115,[1]!PropsSI("P","T",C38,"Q",1,$I$2)/1000,E39)</f>
        <v>4059.1115388408266</v>
      </c>
      <c r="F38" s="67">
        <f>[1]!PropsSI("D","T",$C38,"Q",0,$I$2)</f>
        <v>511.89995169599996</v>
      </c>
      <c r="G38" s="67">
        <f>[1]!PropsSI("D","T",$C38,"Q",1,$I$2)</f>
        <v>511.89995169599996</v>
      </c>
      <c r="H38" s="68">
        <f>[1]!PropsSI("H","T",$C38,"Q",0,$I$2)/1000</f>
        <v>389.63886644058454</v>
      </c>
      <c r="I38" s="69">
        <f>[1]!PropsSI("H","T",$C38,"Q",1,$I$2)/1000</f>
        <v>389.63886644058454</v>
      </c>
      <c r="J38" s="1"/>
      <c r="S38" s="74" t="s">
        <v>582</v>
      </c>
      <c r="T38" s="78" t="s">
        <v>529</v>
      </c>
      <c r="U38" s="74">
        <f>U7</f>
        <v>2</v>
      </c>
      <c r="V38" s="74">
        <f>U6</f>
        <v>7</v>
      </c>
      <c r="W38" s="74"/>
      <c r="X38" s="74"/>
      <c r="Y38" s="74"/>
      <c r="Z38" s="74"/>
      <c r="AA38" s="74"/>
      <c r="AB38" s="74"/>
    </row>
    <row r="39" spans="1:28" x14ac:dyDescent="0.35">
      <c r="A39" s="16"/>
      <c r="B39" s="2">
        <v>270</v>
      </c>
      <c r="C39" s="3">
        <f t="shared" si="2"/>
        <v>374.21</v>
      </c>
      <c r="D39" s="3">
        <f t="shared" ref="D39:D47" si="6">C39-273.15</f>
        <v>101.06</v>
      </c>
      <c r="E39" s="66">
        <f>IF(E40&gt;0.6115,[1]!PropsSI("P","T",C39,"Q",1,$I$2)/1000,E40)</f>
        <v>4059.1115388408266</v>
      </c>
      <c r="F39" s="67">
        <f>[1]!PropsSI("D","T",$C39,"Q",0,$I$2)</f>
        <v>511.89995169599996</v>
      </c>
      <c r="G39" s="67">
        <f>[1]!PropsSI("D","T",$C39,"Q",1,$I$2)</f>
        <v>511.89995169599996</v>
      </c>
      <c r="H39" s="68">
        <f>[1]!PropsSI("H","T",$C39,"Q",0,$I$2)/1000</f>
        <v>389.63886644058454</v>
      </c>
      <c r="I39" s="69">
        <f>[1]!PropsSI("H","T",$C39,"Q",1,$I$2)/1000</f>
        <v>389.63886644058454</v>
      </c>
      <c r="J39" s="1"/>
      <c r="S39" s="74"/>
      <c r="T39" s="78" t="s">
        <v>97</v>
      </c>
      <c r="U39" s="76">
        <f>U35</f>
        <v>248.9722964659924</v>
      </c>
      <c r="V39" s="76">
        <f>W35</f>
        <v>402.46428084484779</v>
      </c>
      <c r="W39" s="74"/>
      <c r="X39" s="74"/>
      <c r="Y39" s="74"/>
      <c r="Z39" s="74"/>
      <c r="AA39" s="74"/>
      <c r="AB39" s="74"/>
    </row>
    <row r="40" spans="1:28" ht="13.75" customHeight="1" x14ac:dyDescent="0.35">
      <c r="A40" s="16"/>
      <c r="B40">
        <v>280</v>
      </c>
      <c r="C40" s="3">
        <f t="shared" si="2"/>
        <v>374.21</v>
      </c>
      <c r="D40" s="3">
        <f t="shared" si="6"/>
        <v>101.06</v>
      </c>
      <c r="E40" s="66">
        <f>IF(E41&gt;0.6115,[1]!PropsSI("P","T",C40,"Q",1,$I$2)/1000,E41)</f>
        <v>4059.1115388408266</v>
      </c>
      <c r="F40" s="67">
        <f>[1]!PropsSI("D","T",$C40,"Q",0,$I$2)</f>
        <v>511.89995169599996</v>
      </c>
      <c r="G40" s="67">
        <f>[1]!PropsSI("D","T",$C40,"Q",1,$I$2)</f>
        <v>511.89995169599996</v>
      </c>
      <c r="H40" s="68">
        <f>[1]!PropsSI("H","T",$C40,"Q",0,$I$2)/1000</f>
        <v>389.63886644058454</v>
      </c>
      <c r="I40" s="69">
        <f>[1]!PropsSI("H","T",$C40,"Q",1,$I$2)/1000</f>
        <v>389.63886644058454</v>
      </c>
      <c r="J40" s="1"/>
      <c r="S40" s="74" t="s">
        <v>583</v>
      </c>
      <c r="T40" s="78" t="s">
        <v>529</v>
      </c>
      <c r="U40" s="74">
        <f>U3</f>
        <v>35</v>
      </c>
      <c r="V40" s="74">
        <f>U4</f>
        <v>30</v>
      </c>
      <c r="W40" s="74"/>
      <c r="X40" s="74"/>
      <c r="Y40" s="74"/>
      <c r="Z40" s="74"/>
      <c r="AA40" s="74"/>
      <c r="AB40" s="74"/>
    </row>
    <row r="41" spans="1:28" ht="14.4" customHeight="1" x14ac:dyDescent="0.45">
      <c r="A41" s="16"/>
      <c r="B41" s="2">
        <v>290</v>
      </c>
      <c r="C41" s="3">
        <f t="shared" si="2"/>
        <v>374.21</v>
      </c>
      <c r="D41" s="3">
        <f t="shared" si="6"/>
        <v>101.06</v>
      </c>
      <c r="E41" s="66">
        <f>IF(E42&gt;0.6115,[1]!PropsSI("P","T",C41,"Q",1,$I$2)/1000,E42)</f>
        <v>4059.1115388408266</v>
      </c>
      <c r="F41" s="67">
        <f>[1]!PropsSI("D","T",$C41,"Q",0,$I$2)</f>
        <v>511.89995169599996</v>
      </c>
      <c r="G41" s="67">
        <f>[1]!PropsSI("D","T",$C41,"Q",1,$I$2)</f>
        <v>511.89995169599996</v>
      </c>
      <c r="H41" s="68">
        <f>[1]!PropsSI("H","T",$C41,"Q",0,$I$2)/1000</f>
        <v>389.63886644058454</v>
      </c>
      <c r="I41" s="69">
        <f>[1]!PropsSI("H","T",$C41,"Q",1,$I$2)/1000</f>
        <v>389.63886644058454</v>
      </c>
      <c r="J41" s="1"/>
      <c r="L41" s="37"/>
      <c r="M41" s="37"/>
      <c r="N41" s="37"/>
      <c r="O41" s="37"/>
      <c r="P41" s="37"/>
      <c r="S41" s="74"/>
      <c r="T41" s="78" t="s">
        <v>97</v>
      </c>
      <c r="U41" s="76">
        <f>X35</f>
        <v>435.2298539348879</v>
      </c>
      <c r="V41" s="75">
        <f>AB35</f>
        <v>248.9722964659924</v>
      </c>
      <c r="W41" s="74"/>
      <c r="X41" s="74"/>
      <c r="Y41" s="74"/>
      <c r="Z41" s="74"/>
      <c r="AA41" s="74"/>
      <c r="AB41" s="74"/>
    </row>
    <row r="42" spans="1:28" ht="16.25" customHeight="1" x14ac:dyDescent="0.45">
      <c r="A42" s="16"/>
      <c r="B42">
        <v>300</v>
      </c>
      <c r="C42" s="3">
        <f t="shared" si="2"/>
        <v>374.21</v>
      </c>
      <c r="D42" s="3">
        <f t="shared" si="6"/>
        <v>101.06</v>
      </c>
      <c r="E42" s="66">
        <f>IF(E43&gt;0.6115,[1]!PropsSI("P","T",C42,"Q",1,$I$2)/1000,E43)</f>
        <v>4059.1115388408266</v>
      </c>
      <c r="F42" s="67">
        <f>[1]!PropsSI("D","T",$C42,"Q",0,$I$2)</f>
        <v>511.89995169599996</v>
      </c>
      <c r="G42" s="67">
        <f>[1]!PropsSI("D","T",$C42,"Q",1,$I$2)</f>
        <v>511.89995169599996</v>
      </c>
      <c r="H42" s="68">
        <f>[1]!PropsSI("H","T",$C42,"Q",0,$I$2)/1000</f>
        <v>389.63886644058454</v>
      </c>
      <c r="I42" s="69">
        <f>[1]!PropsSI("H","T",$C42,"Q",1,$I$2)/1000</f>
        <v>389.63886644058454</v>
      </c>
      <c r="J42" s="1"/>
      <c r="P42" s="37"/>
    </row>
    <row r="43" spans="1:28" ht="18.5" x14ac:dyDescent="0.45">
      <c r="A43" s="16"/>
      <c r="B43" s="2">
        <v>310</v>
      </c>
      <c r="C43" s="3">
        <f t="shared" si="2"/>
        <v>374.21</v>
      </c>
      <c r="D43" s="3">
        <f t="shared" si="6"/>
        <v>101.06</v>
      </c>
      <c r="E43" s="66">
        <f>IF(E44&gt;0.6115,[1]!PropsSI("P","T",C43,"Q",1,$I$2)/1000,E44)</f>
        <v>4059.1115388408266</v>
      </c>
      <c r="F43" s="67">
        <f>[1]!PropsSI("D","T",$C43,"Q",0,$I$2)</f>
        <v>511.89995169599996</v>
      </c>
      <c r="G43" s="67">
        <f>[1]!PropsSI("D","T",$C43,"Q",1,$I$2)</f>
        <v>511.89995169599996</v>
      </c>
      <c r="H43" s="68">
        <f>[1]!PropsSI("H","T",$C43,"Q",0,$I$2)/1000</f>
        <v>389.63886644058454</v>
      </c>
      <c r="I43" s="69">
        <f>[1]!PropsSI("H","T",$C43,"Q",1,$I$2)/1000</f>
        <v>389.63886644058454</v>
      </c>
      <c r="J43" s="1"/>
      <c r="S43" s="100" t="s">
        <v>646</v>
      </c>
      <c r="T43" s="71"/>
      <c r="U43" s="71"/>
      <c r="V43" s="71"/>
      <c r="W43" s="71"/>
      <c r="X43" s="71"/>
      <c r="Y43" s="71"/>
      <c r="Z43" s="71"/>
    </row>
    <row r="44" spans="1:28" x14ac:dyDescent="0.35">
      <c r="A44" s="16"/>
      <c r="B44">
        <v>320</v>
      </c>
      <c r="C44" s="3">
        <f t="shared" si="2"/>
        <v>374.21</v>
      </c>
      <c r="D44" s="3">
        <f t="shared" si="6"/>
        <v>101.06</v>
      </c>
      <c r="E44" s="66">
        <f>IF(E45&gt;0.6115,[1]!PropsSI("P","T",C44,"Q",1,$I$2)/1000,E45)</f>
        <v>4059.1115388408266</v>
      </c>
      <c r="F44" s="67">
        <f>[1]!PropsSI("D","T",$C44,"Q",0,$I$2)</f>
        <v>511.89995169599996</v>
      </c>
      <c r="G44" s="67">
        <f>[1]!PropsSI("D","T",$C44,"Q",1,$I$2)</f>
        <v>511.89995169599996</v>
      </c>
      <c r="H44" s="68">
        <f>[1]!PropsSI("H","T",$C44,"Q",0,$I$2)/1000</f>
        <v>389.63886644058454</v>
      </c>
      <c r="I44" s="69">
        <f>[1]!PropsSI("H","T",$C44,"Q",1,$I$2)/1000</f>
        <v>389.63886644058454</v>
      </c>
      <c r="J44" s="1"/>
      <c r="S44" s="106" t="s">
        <v>572</v>
      </c>
      <c r="T44" s="71"/>
      <c r="U44" s="71"/>
      <c r="V44" s="71"/>
      <c r="W44" s="106" t="s">
        <v>571</v>
      </c>
      <c r="X44" s="71"/>
      <c r="Y44" s="71"/>
      <c r="Z44" s="71"/>
    </row>
    <row r="45" spans="1:28" x14ac:dyDescent="0.35">
      <c r="A45" s="16"/>
      <c r="B45" s="2">
        <v>330</v>
      </c>
      <c r="C45" s="3">
        <f t="shared" si="2"/>
        <v>374.21</v>
      </c>
      <c r="D45" s="3">
        <f t="shared" si="6"/>
        <v>101.06</v>
      </c>
      <c r="E45" s="66">
        <f>IF(E46&gt;0.6115,[1]!PropsSI("P","T",C45,"Q",1,$I$2)/1000,E46)</f>
        <v>4059.1115388408266</v>
      </c>
      <c r="F45" s="67">
        <f>[1]!PropsSI("D","T",$C45,"Q",0,$I$2)</f>
        <v>511.89995169599996</v>
      </c>
      <c r="G45" s="67">
        <f>[1]!PropsSI("D","T",$C45,"Q",1,$I$2)</f>
        <v>511.89995169599996</v>
      </c>
      <c r="H45" s="68">
        <f>[1]!PropsSI("H","T",$C45,"Q",0,$I$2)/1000</f>
        <v>389.63886644058454</v>
      </c>
      <c r="I45" s="69">
        <f>[1]!PropsSI("H","T",$C45,"Q",1,$I$2)/1000</f>
        <v>389.63886644058454</v>
      </c>
      <c r="J45" s="1"/>
      <c r="S45" s="71" t="s">
        <v>573</v>
      </c>
      <c r="T45" s="77" t="s">
        <v>531</v>
      </c>
      <c r="U45" s="107">
        <f>Z12*(X35-Y35)</f>
        <v>0.895561806558</v>
      </c>
      <c r="V45" s="71"/>
    </row>
    <row r="46" spans="1:28" x14ac:dyDescent="0.35">
      <c r="A46" s="16"/>
      <c r="B46">
        <v>340</v>
      </c>
      <c r="C46" s="3">
        <f t="shared" si="2"/>
        <v>374.21</v>
      </c>
      <c r="D46" s="3">
        <f t="shared" si="6"/>
        <v>101.06</v>
      </c>
      <c r="E46" s="66">
        <f>IF(E47&gt;0.6115,[1]!PropsSI("P","T",C46,"Q",1,$I$2)/1000,E47)</f>
        <v>4059.1115388408266</v>
      </c>
      <c r="F46" s="67">
        <f>[1]!PropsSI("D","T",$C46,"Q",0,$I$2)</f>
        <v>511.89995169599996</v>
      </c>
      <c r="G46" s="67">
        <f>[1]!PropsSI("D","T",$C46,"Q",1,$I$2)</f>
        <v>511.89995169599996</v>
      </c>
      <c r="H46" s="68">
        <f>[1]!PropsSI("H","T",$C46,"Q",0,$I$2)/1000</f>
        <v>389.63886644058454</v>
      </c>
      <c r="I46" s="69">
        <f>[1]!PropsSI("H","T",$C46,"Q",1,$I$2)/1000</f>
        <v>389.63886644058454</v>
      </c>
      <c r="J46" s="1"/>
      <c r="S46" s="71" t="s">
        <v>648</v>
      </c>
      <c r="T46" s="77" t="s">
        <v>529</v>
      </c>
      <c r="U46" s="107">
        <f>U40-(U45*1000/Z18/Z16)</f>
        <v>34.552219096720997</v>
      </c>
      <c r="V46" s="71"/>
    </row>
    <row r="47" spans="1:28" x14ac:dyDescent="0.35">
      <c r="A47" s="16"/>
      <c r="B47" s="2">
        <v>350</v>
      </c>
      <c r="C47" s="3">
        <f>IF(E49&gt;0.6511,IF(B47&lt;$B$49,B47+273.15,$C$49),($B$15+273.15))</f>
        <v>374.21</v>
      </c>
      <c r="D47" s="3">
        <f t="shared" si="6"/>
        <v>101.06</v>
      </c>
      <c r="E47" s="66">
        <f>IF(E49&gt;0.6115,[1]!PropsSI("P","T",C47,"Q",1,$I$2)/1000,E49)</f>
        <v>4059.1115388408266</v>
      </c>
      <c r="F47" s="67">
        <f>[1]!PropsSI("D","T",$C47,"Q",0,$I$2)</f>
        <v>511.89995169599996</v>
      </c>
      <c r="G47" s="67">
        <f>[1]!PropsSI("D","T",$C47,"Q",1,$I$2)</f>
        <v>511.89995169599996</v>
      </c>
      <c r="H47" s="68">
        <f>[1]!PropsSI("H","T",$C47,"Q",0,$I$2)/1000</f>
        <v>389.63886644058454</v>
      </c>
      <c r="I47" s="69">
        <f>[1]!PropsSI("H","T",$C47,"Q",1,$I$2)/1000</f>
        <v>389.63886644058454</v>
      </c>
      <c r="J47" s="1"/>
      <c r="S47" s="71" t="s">
        <v>647</v>
      </c>
      <c r="T47" s="77" t="s">
        <v>529</v>
      </c>
      <c r="U47" s="71">
        <f>Z23</f>
        <v>38</v>
      </c>
      <c r="V47" s="71"/>
      <c r="W47" s="71"/>
      <c r="X47" s="71"/>
      <c r="Y47" s="71"/>
      <c r="Z47" s="71"/>
    </row>
    <row r="48" spans="1:28" ht="15.5" x14ac:dyDescent="0.35">
      <c r="A48" s="16"/>
      <c r="B48">
        <v>360</v>
      </c>
      <c r="C48" s="3">
        <f>IF(B48&lt;$B$49,B48+273.15,$C$49)</f>
        <v>374.21</v>
      </c>
      <c r="D48" s="3">
        <f t="shared" ref="D48" si="7">C48-273.15</f>
        <v>101.06</v>
      </c>
      <c r="E48" s="66">
        <f>[1]!PropsSI("P","T",C48,"Q",1,$I$2)/1000</f>
        <v>4059.1115388408266</v>
      </c>
      <c r="F48" s="67">
        <f>[1]!PropsSI("D","T",$C48,"Q",0,$I$2)</f>
        <v>511.89995169599996</v>
      </c>
      <c r="G48" s="67">
        <f>[1]!PropsSI("D","T",$C48,"Q",1,$I$2)</f>
        <v>511.89995169599996</v>
      </c>
      <c r="H48" s="68">
        <f>[1]!PropsSI("H","T",$C48,"Q",0,$I$2)/1000</f>
        <v>389.63886644058454</v>
      </c>
      <c r="I48" s="69">
        <f>[1]!PropsSI("H","T",$C48,"Q",1,$I$2)/1000</f>
        <v>389.63886644058454</v>
      </c>
      <c r="J48" s="1"/>
      <c r="S48" s="108" t="s">
        <v>645</v>
      </c>
      <c r="T48" s="109" t="s">
        <v>529</v>
      </c>
      <c r="U48" s="110">
        <f>U47-U46</f>
        <v>3.4477809032790034</v>
      </c>
      <c r="V48" s="108"/>
      <c r="W48" s="108" t="s">
        <v>604</v>
      </c>
      <c r="X48" s="108"/>
      <c r="Y48" s="108" t="s">
        <v>529</v>
      </c>
      <c r="Z48" s="111">
        <f>V38-W23</f>
        <v>3</v>
      </c>
    </row>
    <row r="49" spans="1:26" ht="16" thickBot="1" x14ac:dyDescent="0.4">
      <c r="A49" s="16"/>
      <c r="B49" s="15">
        <f>C49-273.15</f>
        <v>101.06</v>
      </c>
      <c r="C49" s="40">
        <f>[1]!Props1SI("Tcrit",$I$2)</f>
        <v>374.21</v>
      </c>
      <c r="D49" s="3">
        <f t="shared" si="3"/>
        <v>101.06</v>
      </c>
      <c r="E49" s="66">
        <f>[1]!Props1SI("Pcrit",$I$2)/1000</f>
        <v>4059.28</v>
      </c>
      <c r="F49" s="67">
        <f>[1]!PropsSI("D","T",$C49,"Q",0,$I$2)</f>
        <v>511.89995169599996</v>
      </c>
      <c r="G49" s="67">
        <f>[1]!PropsSI("D","T",$C49,"Q",1,$I$2)</f>
        <v>511.89995169599996</v>
      </c>
      <c r="H49" s="68">
        <f>[1]!PropsSI("H","T",$C49,"Q",0,$I$2)/1000</f>
        <v>389.63886644058454</v>
      </c>
      <c r="I49" s="69">
        <f>[1]!PropsSI("H","T",$C49,"Q",1,$I$2)/1000</f>
        <v>389.63886644058454</v>
      </c>
      <c r="J49" s="1"/>
      <c r="S49" s="108" t="s">
        <v>574</v>
      </c>
      <c r="T49" s="109" t="s">
        <v>529</v>
      </c>
      <c r="U49" s="111">
        <f>AA33-V40</f>
        <v>5</v>
      </c>
      <c r="V49" s="108"/>
      <c r="W49" s="108" t="s">
        <v>605</v>
      </c>
      <c r="X49" s="108"/>
      <c r="Y49" s="108" t="s">
        <v>529</v>
      </c>
      <c r="Z49" s="111">
        <f>U38-U33</f>
        <v>3</v>
      </c>
    </row>
    <row r="50" spans="1:26" ht="15" thickTop="1" x14ac:dyDescent="0.35">
      <c r="A50" s="1"/>
      <c r="B50" s="1"/>
      <c r="C50" s="1"/>
      <c r="D50" s="1"/>
      <c r="E50" s="41"/>
      <c r="F50" s="41"/>
      <c r="G50" s="41"/>
      <c r="H50" s="41"/>
      <c r="I50" s="41"/>
      <c r="J50" s="1"/>
      <c r="S50" s="71" t="s">
        <v>575</v>
      </c>
      <c r="T50" s="77" t="s">
        <v>531</v>
      </c>
      <c r="U50" s="107">
        <f>Z12*(Z35-AA35)</f>
        <v>0.23950423029184553</v>
      </c>
      <c r="W50" s="71" t="s">
        <v>578</v>
      </c>
      <c r="X50" s="71"/>
      <c r="Y50" s="71" t="s">
        <v>531</v>
      </c>
      <c r="Z50" s="107">
        <f>Z12*(W35-V35)</f>
        <v>0.23867562681219065</v>
      </c>
    </row>
    <row r="51" spans="1:26" x14ac:dyDescent="0.35">
      <c r="S51" s="71" t="s">
        <v>576</v>
      </c>
      <c r="T51" s="77" t="s">
        <v>529</v>
      </c>
      <c r="U51" s="107">
        <f>V40+(U50*1000/Z18/Z16)</f>
        <v>30.119752115145921</v>
      </c>
      <c r="W51" s="71" t="s">
        <v>579</v>
      </c>
      <c r="X51" s="71"/>
      <c r="Y51" s="71" t="s">
        <v>529</v>
      </c>
      <c r="Z51" s="107">
        <f>V38-(Z50*1000/Z19/Z17)</f>
        <v>6.8551874240948303</v>
      </c>
    </row>
    <row r="52" spans="1:26" x14ac:dyDescent="0.35">
      <c r="S52" s="71" t="s">
        <v>577</v>
      </c>
      <c r="T52" s="77" t="s">
        <v>529</v>
      </c>
      <c r="U52" s="107">
        <f>U47-U51</f>
        <v>7.8802478848540787</v>
      </c>
      <c r="W52" s="71" t="s">
        <v>580</v>
      </c>
      <c r="X52" s="71"/>
      <c r="Y52" s="71" t="s">
        <v>529</v>
      </c>
      <c r="Z52" s="107">
        <f>Z51-V23</f>
        <v>7.8551874240948303</v>
      </c>
    </row>
    <row r="61" spans="1:26" ht="12.65" customHeight="1" x14ac:dyDescent="0.35"/>
    <row r="62" spans="1:26" ht="15" customHeight="1" x14ac:dyDescent="0.35"/>
  </sheetData>
  <sheetProtection sheet="1" selectLockedCells="1"/>
  <mergeCells count="1">
    <mergeCell ref="B2:F2"/>
  </mergeCells>
  <phoneticPr fontId="22" type="noConversion"/>
  <conditionalFormatting sqref="AD7:AD9">
    <cfRule type="cellIs" dxfId="1" priority="5" operator="lessThan">
      <formula>3</formula>
    </cfRule>
  </conditionalFormatting>
  <conditionalFormatting sqref="AD13:AD14">
    <cfRule type="cellIs" dxfId="0" priority="2" operator="lessThan">
      <formula>3</formula>
    </cfRule>
  </conditionalFormatting>
  <dataValidations count="2">
    <dataValidation type="list" allowBlank="1" showInputMessage="1" showErrorMessage="1" sqref="G3 I2" xr:uid="{00529792-12F3-452A-B3AF-422F16881636}">
      <formula1>PureFluids</formula1>
    </dataValidation>
    <dataValidation type="list" allowBlank="1" showInputMessage="1" showErrorMessage="1" sqref="U2 U5" xr:uid="{57E482D3-1113-4021-9817-AC61DF5DF62B}">
      <formula1>$AD$21:$AD$22</formula1>
    </dataValidation>
  </dataValidations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B1:J47"/>
  <sheetViews>
    <sheetView showGridLines="0" workbookViewId="0">
      <selection activeCell="B13" sqref="B13:B14"/>
    </sheetView>
  </sheetViews>
  <sheetFormatPr baseColWidth="10" defaultColWidth="8.90625" defaultRowHeight="14.5" x14ac:dyDescent="0.35"/>
  <cols>
    <col min="2" max="3" width="3.6328125" customWidth="1"/>
    <col min="4" max="4" width="11.81640625" customWidth="1"/>
    <col min="5" max="5" width="19" customWidth="1"/>
  </cols>
  <sheetData>
    <row r="1" spans="2:10" x14ac:dyDescent="0.35">
      <c r="E1" s="136" t="s">
        <v>46</v>
      </c>
      <c r="F1" s="136"/>
      <c r="G1" s="136"/>
      <c r="H1" s="136"/>
      <c r="I1" s="136"/>
      <c r="J1" s="136"/>
    </row>
    <row r="2" spans="2:10" x14ac:dyDescent="0.35">
      <c r="E2" s="136"/>
      <c r="F2" s="136"/>
      <c r="G2" s="136"/>
      <c r="H2" s="136"/>
      <c r="I2" s="136"/>
      <c r="J2" s="136"/>
    </row>
    <row r="3" spans="2:10" x14ac:dyDescent="0.35">
      <c r="E3" s="136"/>
      <c r="F3" s="136"/>
      <c r="G3" s="136"/>
      <c r="H3" s="136"/>
      <c r="I3" s="136"/>
      <c r="J3" s="136"/>
    </row>
    <row r="4" spans="2:10" x14ac:dyDescent="0.35">
      <c r="E4" s="136"/>
      <c r="F4" s="136"/>
      <c r="G4" s="136"/>
      <c r="H4" s="136"/>
      <c r="I4" s="136"/>
      <c r="J4" s="136"/>
    </row>
    <row r="5" spans="2:10" ht="17.5" x14ac:dyDescent="0.35">
      <c r="E5" s="38" t="s">
        <v>74</v>
      </c>
      <c r="F5" s="38"/>
      <c r="G5" s="38"/>
      <c r="H5" s="38"/>
    </row>
    <row r="7" spans="2:10" x14ac:dyDescent="0.35">
      <c r="B7" s="35" t="s">
        <v>63</v>
      </c>
      <c r="C7" s="35"/>
    </row>
    <row r="8" spans="2:10" x14ac:dyDescent="0.35">
      <c r="B8" s="35"/>
      <c r="C8" s="35"/>
    </row>
    <row r="9" spans="2:10" x14ac:dyDescent="0.35">
      <c r="B9" s="35" t="s">
        <v>609</v>
      </c>
      <c r="C9" s="35"/>
    </row>
    <row r="10" spans="2:10" x14ac:dyDescent="0.35">
      <c r="B10" s="35" t="s">
        <v>610</v>
      </c>
      <c r="C10" s="35"/>
    </row>
    <row r="11" spans="2:10" x14ac:dyDescent="0.35">
      <c r="B11" s="35"/>
      <c r="C11" s="35" t="s">
        <v>611</v>
      </c>
    </row>
    <row r="12" spans="2:10" x14ac:dyDescent="0.35">
      <c r="B12" s="35" t="s">
        <v>643</v>
      </c>
      <c r="C12" s="35"/>
    </row>
    <row r="13" spans="2:10" x14ac:dyDescent="0.35">
      <c r="B13" s="35" t="s">
        <v>649</v>
      </c>
      <c r="C13" s="35"/>
    </row>
    <row r="14" spans="2:10" x14ac:dyDescent="0.35">
      <c r="B14" s="35" t="s">
        <v>650</v>
      </c>
      <c r="C14" s="35"/>
    </row>
    <row r="15" spans="2:10" x14ac:dyDescent="0.35">
      <c r="B15" s="35"/>
      <c r="C15" s="35"/>
    </row>
    <row r="16" spans="2:10" x14ac:dyDescent="0.35">
      <c r="B16" s="35" t="s">
        <v>612</v>
      </c>
      <c r="C16" s="35"/>
    </row>
    <row r="17" spans="2:4" x14ac:dyDescent="0.35">
      <c r="B17" t="s">
        <v>98</v>
      </c>
    </row>
    <row r="18" spans="2:4" x14ac:dyDescent="0.35">
      <c r="B18" t="s">
        <v>64</v>
      </c>
    </row>
    <row r="19" spans="2:4" x14ac:dyDescent="0.35">
      <c r="B19" t="s">
        <v>65</v>
      </c>
    </row>
    <row r="20" spans="2:4" x14ac:dyDescent="0.35">
      <c r="D20" t="s">
        <v>66</v>
      </c>
    </row>
    <row r="21" spans="2:4" x14ac:dyDescent="0.35">
      <c r="D21" t="s">
        <v>67</v>
      </c>
    </row>
    <row r="22" spans="2:4" x14ac:dyDescent="0.35">
      <c r="D22" t="s">
        <v>68</v>
      </c>
    </row>
    <row r="23" spans="2:4" x14ac:dyDescent="0.35">
      <c r="D23" t="s">
        <v>71</v>
      </c>
    </row>
    <row r="24" spans="2:4" x14ac:dyDescent="0.35">
      <c r="D24" t="s">
        <v>69</v>
      </c>
    </row>
    <row r="25" spans="2:4" x14ac:dyDescent="0.35">
      <c r="D25" t="s">
        <v>70</v>
      </c>
    </row>
    <row r="26" spans="2:4" x14ac:dyDescent="0.35">
      <c r="B26" t="s">
        <v>99</v>
      </c>
    </row>
    <row r="29" spans="2:4" x14ac:dyDescent="0.35">
      <c r="B29" s="35" t="s">
        <v>72</v>
      </c>
      <c r="C29" s="35"/>
    </row>
    <row r="30" spans="2:4" x14ac:dyDescent="0.35">
      <c r="B30" t="s">
        <v>73</v>
      </c>
    </row>
    <row r="31" spans="2:4" x14ac:dyDescent="0.35">
      <c r="B31" t="s">
        <v>100</v>
      </c>
    </row>
    <row r="32" spans="2:4" x14ac:dyDescent="0.35">
      <c r="B32" t="s">
        <v>101</v>
      </c>
    </row>
    <row r="33" spans="2:4" x14ac:dyDescent="0.35">
      <c r="B33" t="s">
        <v>102</v>
      </c>
    </row>
    <row r="34" spans="2:4" x14ac:dyDescent="0.35">
      <c r="B34" t="s">
        <v>114</v>
      </c>
    </row>
    <row r="35" spans="2:4" x14ac:dyDescent="0.35">
      <c r="B35" t="s">
        <v>115</v>
      </c>
    </row>
    <row r="36" spans="2:4" x14ac:dyDescent="0.35">
      <c r="C36" t="s">
        <v>103</v>
      </c>
    </row>
    <row r="37" spans="2:4" x14ac:dyDescent="0.35">
      <c r="C37" t="s">
        <v>104</v>
      </c>
    </row>
    <row r="38" spans="2:4" x14ac:dyDescent="0.35">
      <c r="B38" t="s">
        <v>105</v>
      </c>
    </row>
    <row r="39" spans="2:4" x14ac:dyDescent="0.35">
      <c r="C39" t="s">
        <v>116</v>
      </c>
    </row>
    <row r="40" spans="2:4" x14ac:dyDescent="0.35">
      <c r="C40" t="s">
        <v>108</v>
      </c>
    </row>
    <row r="41" spans="2:4" x14ac:dyDescent="0.35">
      <c r="D41" t="s">
        <v>107</v>
      </c>
    </row>
    <row r="42" spans="2:4" x14ac:dyDescent="0.35">
      <c r="D42" t="s">
        <v>106</v>
      </c>
    </row>
    <row r="43" spans="2:4" x14ac:dyDescent="0.35">
      <c r="C43" t="s">
        <v>109</v>
      </c>
    </row>
    <row r="44" spans="2:4" x14ac:dyDescent="0.35">
      <c r="C44" t="s">
        <v>110</v>
      </c>
    </row>
    <row r="45" spans="2:4" x14ac:dyDescent="0.35">
      <c r="B45" t="s">
        <v>111</v>
      </c>
    </row>
    <row r="46" spans="2:4" x14ac:dyDescent="0.35">
      <c r="B46" t="s">
        <v>112</v>
      </c>
    </row>
    <row r="47" spans="2:4" x14ac:dyDescent="0.35">
      <c r="B47" t="s">
        <v>113</v>
      </c>
    </row>
  </sheetData>
  <sheetProtection selectLockedCells="1" selectUnlockedCells="1"/>
  <mergeCells count="2">
    <mergeCell ref="E1:H4"/>
    <mergeCell ref="I1:J4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H46"/>
  <sheetViews>
    <sheetView showGridLines="0" workbookViewId="0">
      <selection activeCell="H11" sqref="H11"/>
    </sheetView>
  </sheetViews>
  <sheetFormatPr baseColWidth="10" defaultColWidth="8.90625" defaultRowHeight="14.5" x14ac:dyDescent="0.35"/>
  <cols>
    <col min="1" max="1" width="2.81640625" customWidth="1"/>
    <col min="2" max="2" width="43.6328125" customWidth="1"/>
    <col min="3" max="3" width="8.36328125" bestFit="1" customWidth="1"/>
    <col min="4" max="4" width="22.08984375" customWidth="1"/>
    <col min="5" max="5" width="3" customWidth="1"/>
    <col min="6" max="6" width="18.1796875" bestFit="1" customWidth="1"/>
    <col min="7" max="7" width="2.36328125" customWidth="1"/>
    <col min="8" max="8" width="72.08984375" customWidth="1"/>
  </cols>
  <sheetData>
    <row r="1" spans="2:8" x14ac:dyDescent="0.35">
      <c r="C1" s="136" t="s">
        <v>46</v>
      </c>
      <c r="D1" s="136"/>
      <c r="E1" s="136"/>
      <c r="F1" s="136"/>
    </row>
    <row r="2" spans="2:8" x14ac:dyDescent="0.35">
      <c r="C2" s="136"/>
      <c r="D2" s="136"/>
      <c r="E2" s="136"/>
      <c r="F2" s="136"/>
    </row>
    <row r="3" spans="2:8" x14ac:dyDescent="0.35">
      <c r="C3" s="136"/>
      <c r="D3" s="136"/>
      <c r="E3" s="136"/>
      <c r="F3" s="136"/>
    </row>
    <row r="4" spans="2:8" x14ac:dyDescent="0.35">
      <c r="C4" s="136"/>
      <c r="D4" s="136"/>
      <c r="E4" s="136"/>
      <c r="F4" s="136"/>
    </row>
    <row r="5" spans="2:8" ht="17.5" x14ac:dyDescent="0.35">
      <c r="C5" s="137" t="s">
        <v>47</v>
      </c>
      <c r="D5" s="137"/>
      <c r="E5" s="137"/>
      <c r="F5" s="137"/>
    </row>
    <row r="7" spans="2:8" x14ac:dyDescent="0.35">
      <c r="B7" s="29" t="s">
        <v>26</v>
      </c>
      <c r="C7" s="29" t="s">
        <v>27</v>
      </c>
      <c r="D7" s="29" t="s">
        <v>16</v>
      </c>
      <c r="E7" s="29"/>
      <c r="F7" s="29" t="s">
        <v>17</v>
      </c>
      <c r="G7" s="29"/>
      <c r="H7" s="29" t="s">
        <v>25</v>
      </c>
    </row>
    <row r="8" spans="2:8" x14ac:dyDescent="0.35">
      <c r="B8" s="22" t="s">
        <v>0</v>
      </c>
      <c r="C8" s="23" t="s">
        <v>1</v>
      </c>
      <c r="D8" s="24">
        <f>[1]!Props1SI("R410A","Tcrit")</f>
        <v>344.49400000000003</v>
      </c>
      <c r="E8" s="27"/>
      <c r="F8" s="22">
        <v>344.49400000000003</v>
      </c>
      <c r="H8" s="31" t="s">
        <v>526</v>
      </c>
    </row>
    <row r="9" spans="2:8" x14ac:dyDescent="0.35">
      <c r="B9" s="22" t="s">
        <v>5</v>
      </c>
      <c r="C9" s="23" t="s">
        <v>3</v>
      </c>
      <c r="D9" s="24">
        <f>[1]!Props1SI("Propane","rhocrit")</f>
        <v>220.47810000000004</v>
      </c>
      <c r="E9" s="27"/>
      <c r="F9" s="22">
        <v>220.47810000000004</v>
      </c>
      <c r="H9" s="31" t="s">
        <v>527</v>
      </c>
    </row>
    <row r="10" spans="2:8" x14ac:dyDescent="0.35">
      <c r="B10" s="22" t="s">
        <v>30</v>
      </c>
      <c r="C10" s="23" t="s">
        <v>3</v>
      </c>
      <c r="D10" s="24">
        <f>[1]!PropsSI("Dmass","T",273.15,"P",101325,"HEOS::Nitrogen")</f>
        <v>1.250386130338901</v>
      </c>
      <c r="E10" s="27"/>
      <c r="F10" s="22">
        <v>1.2503861303389008</v>
      </c>
      <c r="H10" s="31" t="s">
        <v>29</v>
      </c>
    </row>
    <row r="11" spans="2:8" x14ac:dyDescent="0.35">
      <c r="B11" s="22" t="s">
        <v>2</v>
      </c>
      <c r="C11" s="23" t="s">
        <v>3</v>
      </c>
      <c r="D11" s="24">
        <f>[1]!PropsSI("Dmass","T",273.15,"P",101325,"HEOS::Air")</f>
        <v>1.2930656163292633</v>
      </c>
      <c r="E11" s="27"/>
      <c r="F11" s="22">
        <v>1.2930656163292635</v>
      </c>
      <c r="H11" s="31" t="s">
        <v>31</v>
      </c>
    </row>
    <row r="12" spans="2:8" x14ac:dyDescent="0.35">
      <c r="B12" s="22" t="s">
        <v>4</v>
      </c>
      <c r="C12" s="25" t="s">
        <v>7</v>
      </c>
      <c r="D12" s="24">
        <f>[1]!PropsSI("T","P",101325,"Q",0,"HEOS::Water")-273.15</f>
        <v>99.974295847684402</v>
      </c>
      <c r="E12" s="27"/>
      <c r="F12" s="22">
        <v>99.97429584768804</v>
      </c>
      <c r="H12" s="31" t="s">
        <v>32</v>
      </c>
    </row>
    <row r="13" spans="2:8" x14ac:dyDescent="0.35">
      <c r="B13" s="22" t="s">
        <v>4</v>
      </c>
      <c r="C13" s="25" t="s">
        <v>7</v>
      </c>
      <c r="D13" s="24" t="e">
        <f>[1]!PropsSI("T","P",101325,"Q",0,"REFPROP::Water")-273.15</f>
        <v>#VALUE!</v>
      </c>
      <c r="E13" s="27"/>
      <c r="F13" s="22">
        <v>99.974295847697988</v>
      </c>
      <c r="H13" s="31" t="s">
        <v>33</v>
      </c>
    </row>
    <row r="14" spans="2:8" x14ac:dyDescent="0.35">
      <c r="B14" s="22" t="s">
        <v>15</v>
      </c>
      <c r="C14" s="23"/>
      <c r="D14" s="34" t="str">
        <f>[1]!Props1SI("A","B")</f>
        <v>Neither input to Props1SI [A,B] is a valid fluid</v>
      </c>
      <c r="E14" s="28"/>
      <c r="F14" s="22"/>
      <c r="H14" s="31" t="s">
        <v>34</v>
      </c>
    </row>
    <row r="15" spans="2:8" x14ac:dyDescent="0.35">
      <c r="B15" s="22" t="s">
        <v>92</v>
      </c>
      <c r="C15" s="25"/>
      <c r="D15" s="24" t="str">
        <f>[1]!get_global_param_string("version")</f>
        <v>6.6.0</v>
      </c>
      <c r="E15" s="27"/>
      <c r="F15" s="39" t="s">
        <v>91</v>
      </c>
      <c r="H15" s="31" t="s">
        <v>95</v>
      </c>
    </row>
    <row r="16" spans="2:8" x14ac:dyDescent="0.35">
      <c r="B16" s="22" t="s">
        <v>93</v>
      </c>
      <c r="C16" s="25"/>
      <c r="D16" s="26" t="str">
        <f>[1]!get_global_param_string("gitrevision")</f>
        <v>ba21c74fd1c3a4934bbecbf459936983dec424c2</v>
      </c>
      <c r="E16" s="27"/>
      <c r="F16" s="22"/>
      <c r="H16" s="31" t="s">
        <v>94</v>
      </c>
    </row>
    <row r="17" spans="2:8" x14ac:dyDescent="0.35">
      <c r="D17" s="28"/>
    </row>
    <row r="18" spans="2:8" ht="18.5" x14ac:dyDescent="0.45">
      <c r="B18" s="37" t="s">
        <v>75</v>
      </c>
      <c r="D18" s="27"/>
    </row>
    <row r="19" spans="2:8" x14ac:dyDescent="0.35">
      <c r="B19" s="22" t="s">
        <v>76</v>
      </c>
      <c r="C19" s="23"/>
      <c r="D19" s="24" t="str">
        <f>[1]!PhaseSI("T",293.15,"P",101325,"Water")</f>
        <v>liquid</v>
      </c>
      <c r="F19" s="39" t="s">
        <v>77</v>
      </c>
      <c r="H19" s="31" t="s">
        <v>78</v>
      </c>
    </row>
    <row r="20" spans="2:8" x14ac:dyDescent="0.35">
      <c r="B20" s="22" t="s">
        <v>79</v>
      </c>
      <c r="C20" s="23"/>
      <c r="D20" s="24" t="str">
        <f>[1]!PhaseSI("T",400,"P",101325,"Water")</f>
        <v>gas</v>
      </c>
      <c r="F20" s="39" t="s">
        <v>80</v>
      </c>
      <c r="H20" s="31" t="s">
        <v>81</v>
      </c>
    </row>
    <row r="21" spans="2:8" x14ac:dyDescent="0.35">
      <c r="B21" s="22" t="s">
        <v>85</v>
      </c>
      <c r="C21" s="23"/>
      <c r="D21" s="24" t="str">
        <f>[1]!PhaseSI("T",400,"P",30000000,"Water")</f>
        <v>supercritical_liquid</v>
      </c>
      <c r="F21" s="39" t="s">
        <v>83</v>
      </c>
      <c r="H21" s="31" t="s">
        <v>82</v>
      </c>
    </row>
    <row r="22" spans="2:8" x14ac:dyDescent="0.35">
      <c r="B22" s="22" t="s">
        <v>86</v>
      </c>
      <c r="C22" s="23"/>
      <c r="D22" s="24" t="str">
        <f>[1]!PhaseSI("T",1030,"P",10000000,"Water")</f>
        <v>supercritical_gas</v>
      </c>
      <c r="F22" s="39" t="s">
        <v>84</v>
      </c>
      <c r="H22" s="31" t="s">
        <v>89</v>
      </c>
    </row>
    <row r="23" spans="2:8" x14ac:dyDescent="0.35">
      <c r="B23" s="22" t="s">
        <v>87</v>
      </c>
      <c r="C23" s="23"/>
      <c r="D23" s="24" t="str">
        <f>[1]!PhaseSI("T",1030,"P",30000000,"Water")</f>
        <v>supercritical</v>
      </c>
      <c r="F23" s="39" t="s">
        <v>88</v>
      </c>
      <c r="H23" s="31" t="s">
        <v>90</v>
      </c>
    </row>
    <row r="24" spans="2:8" x14ac:dyDescent="0.35">
      <c r="D24" s="27"/>
    </row>
    <row r="25" spans="2:8" ht="18.5" x14ac:dyDescent="0.45">
      <c r="B25" s="37" t="s">
        <v>28</v>
      </c>
    </row>
    <row r="26" spans="2:8" ht="29" x14ac:dyDescent="0.35">
      <c r="B26" s="32" t="s">
        <v>18</v>
      </c>
      <c r="C26" s="33" t="s">
        <v>37</v>
      </c>
    </row>
    <row r="27" spans="2:8" x14ac:dyDescent="0.35">
      <c r="B27" s="30" t="s">
        <v>19</v>
      </c>
      <c r="C27" s="24">
        <v>0.78090000000000004</v>
      </c>
    </row>
    <row r="28" spans="2:8" x14ac:dyDescent="0.35">
      <c r="B28" s="30" t="s">
        <v>21</v>
      </c>
      <c r="C28" s="24">
        <v>0.20949999999999999</v>
      </c>
    </row>
    <row r="29" spans="2:8" x14ac:dyDescent="0.35">
      <c r="B29" s="30" t="s">
        <v>20</v>
      </c>
      <c r="C29" s="24">
        <v>9.2999999999999992E-3</v>
      </c>
    </row>
    <row r="30" spans="2:8" x14ac:dyDescent="0.35">
      <c r="B30" s="30" t="s">
        <v>22</v>
      </c>
      <c r="C30" s="24">
        <v>3.8999999999999999E-4</v>
      </c>
    </row>
    <row r="31" spans="2:8" x14ac:dyDescent="0.35">
      <c r="B31" s="26" t="s">
        <v>23</v>
      </c>
      <c r="C31" s="23" t="s">
        <v>1</v>
      </c>
      <c r="D31" s="24">
        <f>[1]!PropsSI("T","P",101325,"Q",0,"HEOS::"&amp;[1]!MixtureString(B27:B30,C27:C30))</f>
        <v>78.933400279289742</v>
      </c>
      <c r="F31" s="24">
        <v>78.933403642237366</v>
      </c>
      <c r="H31" s="31" t="s">
        <v>36</v>
      </c>
    </row>
    <row r="32" spans="2:8" x14ac:dyDescent="0.35">
      <c r="B32" s="26" t="s">
        <v>39</v>
      </c>
      <c r="C32" s="23" t="s">
        <v>38</v>
      </c>
      <c r="D32" s="22">
        <f>[1]!PropsSI("D","T",273.15,"P",101325,"HEOS::"&amp;[1]!MixtureString(B27:B30,C27:C30))</f>
        <v>1.2931619487069008</v>
      </c>
      <c r="F32" s="22">
        <v>1.2931619537014851</v>
      </c>
      <c r="H32" s="31" t="s">
        <v>40</v>
      </c>
    </row>
    <row r="34" spans="2:8" ht="18.5" x14ac:dyDescent="0.45">
      <c r="B34" s="37" t="s">
        <v>41</v>
      </c>
      <c r="C34" s="29" t="s">
        <v>27</v>
      </c>
      <c r="D34" s="29" t="s">
        <v>16</v>
      </c>
      <c r="E34" s="29"/>
      <c r="F34" s="29" t="s">
        <v>17</v>
      </c>
      <c r="G34" s="29"/>
      <c r="H34" s="29" t="s">
        <v>25</v>
      </c>
    </row>
    <row r="35" spans="2:8" x14ac:dyDescent="0.35">
      <c r="B35" s="22" t="s">
        <v>42</v>
      </c>
      <c r="C35" s="23" t="s">
        <v>1</v>
      </c>
      <c r="D35" s="24">
        <f>[1]!HAPropsSI("D","T",293.15,"P",101325,"R",0)</f>
        <v>149.39544393672111</v>
      </c>
      <c r="F35" s="24">
        <v>149.39544393636223</v>
      </c>
      <c r="H35" s="31" t="s">
        <v>50</v>
      </c>
    </row>
    <row r="36" spans="2:8" x14ac:dyDescent="0.35">
      <c r="B36" s="22" t="s">
        <v>43</v>
      </c>
      <c r="C36" s="23" t="s">
        <v>1</v>
      </c>
      <c r="D36" s="24">
        <f>[1]!HAPropsSI("D","T",293.15,"P",101325,"R",0.5)</f>
        <v>282.42442581457823</v>
      </c>
      <c r="F36" s="24">
        <v>282.42442581501291</v>
      </c>
      <c r="H36" s="31" t="s">
        <v>51</v>
      </c>
    </row>
    <row r="37" spans="2:8" x14ac:dyDescent="0.35">
      <c r="B37" s="22" t="s">
        <v>48</v>
      </c>
      <c r="C37" s="23" t="s">
        <v>38</v>
      </c>
      <c r="D37" s="24">
        <f>1/[1]!HAPropsSI("Vda","T",273.15,"P",101325,"R",0)</f>
        <v>1.2930956154702813</v>
      </c>
      <c r="F37" s="24">
        <v>1.2930956154536004</v>
      </c>
      <c r="H37" s="31" t="s">
        <v>52</v>
      </c>
    </row>
    <row r="38" spans="2:8" x14ac:dyDescent="0.35">
      <c r="B38" s="22" t="s">
        <v>45</v>
      </c>
      <c r="C38" s="23" t="s">
        <v>38</v>
      </c>
      <c r="D38" s="24">
        <f>1/[1]!HAPropsSI("Vha","T",273.15,"P",101325,"R",0.5)</f>
        <v>1.2916247681483926</v>
      </c>
      <c r="F38" s="24">
        <v>1.2916247681318624</v>
      </c>
      <c r="H38" s="31" t="s">
        <v>53</v>
      </c>
    </row>
    <row r="39" spans="2:8" x14ac:dyDescent="0.35">
      <c r="B39" s="22" t="s">
        <v>44</v>
      </c>
      <c r="C39" s="23" t="s">
        <v>24</v>
      </c>
      <c r="D39" s="24">
        <f>[1]!HAPropsSI("H","T",273.15,"P",101325,"R",0.5)</f>
        <v>4723.4366320916106</v>
      </c>
      <c r="F39" s="24">
        <v>4723.4366339628559</v>
      </c>
      <c r="H39" s="31" t="s">
        <v>54</v>
      </c>
    </row>
    <row r="40" spans="2:8" x14ac:dyDescent="0.35">
      <c r="B40" s="22" t="str">
        <f>"Temperature of Sat. Air at H="&amp;TEXT(D39,"0.00")&amp;" J/kg:"</f>
        <v>Temperature of Sat. Air at H=4723.44 J/kg:</v>
      </c>
      <c r="C40" s="23" t="s">
        <v>1</v>
      </c>
      <c r="D40" s="24">
        <f>[1]!HAPropsSI("T","H",D39,"P",101325,"R",1)</f>
        <v>270.38568467457293</v>
      </c>
      <c r="F40" s="24">
        <v>270.38566397315532</v>
      </c>
      <c r="H40" s="31" t="s">
        <v>55</v>
      </c>
    </row>
    <row r="41" spans="2:8" x14ac:dyDescent="0.35">
      <c r="B41" s="36" t="s">
        <v>49</v>
      </c>
    </row>
    <row r="43" spans="2:8" ht="18.5" x14ac:dyDescent="0.45">
      <c r="B43" s="37" t="s">
        <v>56</v>
      </c>
      <c r="C43" s="29" t="s">
        <v>27</v>
      </c>
      <c r="D43" s="29" t="s">
        <v>16</v>
      </c>
      <c r="E43" s="29"/>
      <c r="F43" s="29" t="s">
        <v>17</v>
      </c>
      <c r="G43" s="29"/>
      <c r="H43" s="29" t="s">
        <v>25</v>
      </c>
    </row>
    <row r="44" spans="2:8" x14ac:dyDescent="0.35">
      <c r="B44" s="26" t="s">
        <v>57</v>
      </c>
      <c r="C44" s="23" t="s">
        <v>14</v>
      </c>
      <c r="D44" s="24">
        <f>[1]!PropsSI("V","T",300,"P",101325,"INCOMP::MEG[0.2]")</f>
        <v>1.3814221664421487E-3</v>
      </c>
      <c r="E44" s="27"/>
      <c r="F44" s="22">
        <v>1.3814221664421487E-3</v>
      </c>
      <c r="H44" s="31" t="s">
        <v>35</v>
      </c>
    </row>
    <row r="45" spans="2:8" x14ac:dyDescent="0.35">
      <c r="B45" s="22" t="s">
        <v>58</v>
      </c>
      <c r="C45" s="23" t="s">
        <v>59</v>
      </c>
      <c r="D45" s="24">
        <f>[1]!PropsSI("C","T",500,"P",101325,"INCOMP::DowQ")</f>
        <v>2288.1643758645673</v>
      </c>
      <c r="E45" s="27"/>
      <c r="F45" s="22">
        <v>2288.1643758645673</v>
      </c>
      <c r="H45" s="31" t="s">
        <v>62</v>
      </c>
    </row>
    <row r="46" spans="2:8" x14ac:dyDescent="0.35">
      <c r="B46" s="22" t="s">
        <v>60</v>
      </c>
      <c r="C46" s="23" t="s">
        <v>61</v>
      </c>
      <c r="D46" s="24">
        <f>[1]!PropsSI("D","T",293.15,"P",101325,"INCOMP::MITSW[0.035]")</f>
        <v>1024.8598443641281</v>
      </c>
      <c r="E46" s="27"/>
      <c r="F46" s="22">
        <v>1024.8598443641281</v>
      </c>
      <c r="H46" s="31" t="s">
        <v>35</v>
      </c>
    </row>
  </sheetData>
  <mergeCells count="2">
    <mergeCell ref="C1:F4"/>
    <mergeCell ref="C5:F5"/>
  </mergeCells>
  <pageMargins left="0.7" right="0.7" top="0.75" bottom="0.75" header="0.3" footer="0.3"/>
  <pageSetup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46"/>
  <sheetViews>
    <sheetView workbookViewId="0">
      <selection activeCell="F20" sqref="F20"/>
    </sheetView>
  </sheetViews>
  <sheetFormatPr baseColWidth="10" defaultColWidth="8.90625" defaultRowHeight="14.5" x14ac:dyDescent="0.35"/>
  <cols>
    <col min="1" max="1" width="4" customWidth="1"/>
    <col min="2" max="2" width="12.6328125" bestFit="1" customWidth="1"/>
    <col min="3" max="3" width="12.1796875" customWidth="1"/>
    <col min="4" max="4" width="12.6328125" bestFit="1" customWidth="1"/>
    <col min="5" max="5" width="12.1796875" customWidth="1"/>
    <col min="6" max="6" width="11.36328125" customWidth="1"/>
    <col min="7" max="7" width="12.81640625" customWidth="1"/>
    <col min="8" max="8" width="13" customWidth="1"/>
    <col min="9" max="9" width="4.1796875" customWidth="1"/>
  </cols>
  <sheetData>
    <row r="1" spans="1:9" ht="15" thickBot="1" x14ac:dyDescent="0.4">
      <c r="A1" s="1"/>
      <c r="B1" s="13"/>
      <c r="C1" s="13"/>
      <c r="D1" s="13"/>
      <c r="E1" s="13"/>
      <c r="F1" s="13"/>
      <c r="G1" s="13"/>
      <c r="H1" s="13"/>
      <c r="I1" s="1"/>
    </row>
    <row r="2" spans="1:9" ht="19" thickTop="1" x14ac:dyDescent="0.45">
      <c r="A2" s="12"/>
      <c r="B2" s="138" t="s">
        <v>6</v>
      </c>
      <c r="C2" s="138"/>
      <c r="D2" s="138"/>
      <c r="E2" s="138"/>
      <c r="F2" s="138"/>
      <c r="G2" s="138"/>
      <c r="H2" s="139"/>
      <c r="I2" s="1"/>
    </row>
    <row r="3" spans="1:9" x14ac:dyDescent="0.35">
      <c r="A3" s="12"/>
      <c r="B3" s="19" t="s">
        <v>9</v>
      </c>
      <c r="C3" s="20" t="s">
        <v>9</v>
      </c>
      <c r="D3" s="20" t="s">
        <v>12</v>
      </c>
      <c r="E3" s="20" t="s">
        <v>10</v>
      </c>
      <c r="F3" s="20" t="s">
        <v>11</v>
      </c>
      <c r="G3" s="20" t="s">
        <v>10</v>
      </c>
      <c r="H3" s="21" t="s">
        <v>11</v>
      </c>
      <c r="I3" s="1"/>
    </row>
    <row r="4" spans="1:9" x14ac:dyDescent="0.35">
      <c r="A4" s="12"/>
      <c r="B4" s="7"/>
      <c r="C4" s="8"/>
      <c r="D4" s="20"/>
      <c r="E4" s="20" t="s">
        <v>8</v>
      </c>
      <c r="F4" s="20" t="s">
        <v>8</v>
      </c>
      <c r="G4" s="20" t="s">
        <v>13</v>
      </c>
      <c r="H4" s="21" t="s">
        <v>13</v>
      </c>
      <c r="I4" s="1"/>
    </row>
    <row r="5" spans="1:9" ht="15" thickBot="1" x14ac:dyDescent="0.4">
      <c r="A5" s="12"/>
      <c r="B5" s="9" t="s">
        <v>7</v>
      </c>
      <c r="C5" s="10" t="s">
        <v>1</v>
      </c>
      <c r="D5" s="10" t="s">
        <v>96</v>
      </c>
      <c r="E5" s="10" t="s">
        <v>3</v>
      </c>
      <c r="F5" s="10" t="s">
        <v>3</v>
      </c>
      <c r="G5" s="10" t="s">
        <v>97</v>
      </c>
      <c r="H5" s="11" t="s">
        <v>97</v>
      </c>
      <c r="I5" s="1"/>
    </row>
    <row r="6" spans="1:9" ht="15.5" thickTop="1" thickBot="1" x14ac:dyDescent="0.4">
      <c r="A6" s="1"/>
      <c r="B6" s="17"/>
      <c r="C6" s="18"/>
      <c r="D6" s="18"/>
      <c r="E6" s="18"/>
      <c r="F6" s="18"/>
      <c r="G6" s="18"/>
      <c r="H6" s="18"/>
      <c r="I6" s="1"/>
    </row>
    <row r="7" spans="1:9" ht="15" thickTop="1" x14ac:dyDescent="0.35">
      <c r="A7" s="16"/>
      <c r="B7" s="2">
        <v>1.00001E-2</v>
      </c>
      <c r="C7" s="3">
        <f>B7+273.15</f>
        <v>273.16000009999999</v>
      </c>
      <c r="D7" s="5">
        <f>[1]!PropsSI("P","T",C7,"Q",1,"Water")/1000</f>
        <v>0.61165472507254326</v>
      </c>
      <c r="E7" s="6">
        <f>[1]!PropsSI("D","T",$C7,"Q",0,"Water")</f>
        <v>999.79252003838542</v>
      </c>
      <c r="F7" s="6">
        <f>[1]!PropsSI("D","T",$C7,"Q",1,"Water")</f>
        <v>4.8545757582902438E-3</v>
      </c>
      <c r="G7" s="4">
        <f>[1]!PropsSI("H","T",$C7,"Q",0,"Water")/1000</f>
        <v>6.1220360638336406E-4</v>
      </c>
      <c r="H7" s="14">
        <f>[1]!PropsSI("H","T",$C7,"Q",1,"Water")/1000</f>
        <v>2500.9151916490414</v>
      </c>
      <c r="I7" s="1"/>
    </row>
    <row r="8" spans="1:9" x14ac:dyDescent="0.35">
      <c r="A8" s="16"/>
      <c r="B8">
        <v>10</v>
      </c>
      <c r="C8" s="3">
        <f t="shared" ref="C8:C44" si="0">B8+273.15</f>
        <v>283.14999999999998</v>
      </c>
      <c r="D8" s="5">
        <f>[1]!PropsSI("P","T",C8,"Q",1,"Water")/1000</f>
        <v>1.2281989186903675</v>
      </c>
      <c r="E8" s="6">
        <f>[1]!PropsSI("D","T",$C8,"Q",0,"Water")</f>
        <v>999.65462464159714</v>
      </c>
      <c r="F8" s="6">
        <f>[1]!PropsSI("D","T",$C8,"Q",1,"Water")</f>
        <v>9.4070520080231819E-3</v>
      </c>
      <c r="G8" s="4">
        <f>[1]!PropsSI("H","T",$C8,"Q",0,"Water")/1000</f>
        <v>42.021255884836407</v>
      </c>
      <c r="H8" s="14">
        <f>[1]!PropsSI("H","T",$C8,"Q",1,"Water")/1000</f>
        <v>2519.2083189072159</v>
      </c>
      <c r="I8" s="1"/>
    </row>
    <row r="9" spans="1:9" x14ac:dyDescent="0.35">
      <c r="A9" s="16"/>
      <c r="B9">
        <v>20</v>
      </c>
      <c r="C9" s="3">
        <f t="shared" si="0"/>
        <v>293.14999999999998</v>
      </c>
      <c r="D9" s="5">
        <f>[1]!PropsSI("P","T",C9,"Q",1,"Water")/1000</f>
        <v>2.3393181882699037</v>
      </c>
      <c r="E9" s="6">
        <f>[1]!PropsSI("D","T",$C9,"Q",0,"Water")</f>
        <v>998.16180134316232</v>
      </c>
      <c r="F9" s="6">
        <f>[1]!PropsSI("D","T",$C9,"Q",1,"Water")</f>
        <v>1.7314008205457605E-2</v>
      </c>
      <c r="G9" s="4">
        <f>[1]!PropsSI("H","T",$C9,"Q",0,"Water")/1000</f>
        <v>83.914144952818091</v>
      </c>
      <c r="H9" s="14">
        <f>[1]!PropsSI("H","T",$C9,"Q",1,"Water")/1000</f>
        <v>2537.433404372583</v>
      </c>
      <c r="I9" s="1"/>
    </row>
    <row r="10" spans="1:9" x14ac:dyDescent="0.35">
      <c r="A10" s="16"/>
      <c r="B10">
        <v>30</v>
      </c>
      <c r="C10" s="3">
        <f t="shared" si="0"/>
        <v>303.14999999999998</v>
      </c>
      <c r="D10" s="5">
        <f>[1]!PropsSI("P","T",C10,"Q",1,"Water")/1000</f>
        <v>4.246970839891719</v>
      </c>
      <c r="E10" s="6">
        <f>[1]!PropsSI("D","T",$C10,"Q",0,"Water")</f>
        <v>995.60617747384913</v>
      </c>
      <c r="F10" s="6">
        <f>[1]!PropsSI("D","T",$C10,"Q",1,"Water")</f>
        <v>3.0415211808982757E-2</v>
      </c>
      <c r="G10" s="4">
        <f>[1]!PropsSI("H","T",$C10,"Q",0,"Water")/1000</f>
        <v>125.73397341919228</v>
      </c>
      <c r="H10" s="14">
        <f>[1]!PropsSI("H","T",$C10,"Q",1,"Water")/1000</f>
        <v>2555.5452032947651</v>
      </c>
      <c r="I10" s="1"/>
    </row>
    <row r="11" spans="1:9" x14ac:dyDescent="0.35">
      <c r="A11" s="16"/>
      <c r="B11">
        <v>40</v>
      </c>
      <c r="C11" s="3">
        <f t="shared" si="0"/>
        <v>313.14999999999998</v>
      </c>
      <c r="D11" s="5">
        <f>[1]!PropsSI("P","T",C11,"Q",1,"Water")/1000</f>
        <v>7.3849380448820821</v>
      </c>
      <c r="E11" s="6">
        <f>[1]!PropsSI("D","T",$C11,"Q",0,"Water")</f>
        <v>992.17511534127698</v>
      </c>
      <c r="F11" s="6">
        <f>[1]!PropsSI("D","T",$C11,"Q",1,"Water")</f>
        <v>5.124225580168873E-2</v>
      </c>
      <c r="G11" s="4">
        <f>[1]!PropsSI("H","T",$C11,"Q",0,"Water")/1000</f>
        <v>167.53303558717388</v>
      </c>
      <c r="H11" s="14">
        <f>[1]!PropsSI("H","T",$C11,"Q",1,"Water")/1000</f>
        <v>2573.5103223740025</v>
      </c>
      <c r="I11" s="1"/>
    </row>
    <row r="12" spans="1:9" x14ac:dyDescent="0.35">
      <c r="A12" s="16"/>
      <c r="B12">
        <v>50</v>
      </c>
      <c r="C12" s="3">
        <f t="shared" si="0"/>
        <v>323.14999999999998</v>
      </c>
      <c r="D12" s="5">
        <f>[1]!PropsSI("P","T",C12,"Q",1,"Water")/1000</f>
        <v>12.351945832682558</v>
      </c>
      <c r="E12" s="6">
        <f>[1]!PropsSI("D","T",$C12,"Q",0,"Water")</f>
        <v>987.99621061116898</v>
      </c>
      <c r="F12" s="6">
        <f>[1]!PropsSI("D","T",$C12,"Q",1,"Water")</f>
        <v>8.3146842800445958E-2</v>
      </c>
      <c r="G12" s="4">
        <f>[1]!PropsSI("H","T",$C12,"Q",0,"Water")/1000</f>
        <v>209.34176132667645</v>
      </c>
      <c r="H12" s="14">
        <f>[1]!PropsSI("H","T",$C12,"Q",1,"Water")/1000</f>
        <v>2591.288887867202</v>
      </c>
      <c r="I12" s="1"/>
    </row>
    <row r="13" spans="1:9" x14ac:dyDescent="0.35">
      <c r="A13" s="16"/>
      <c r="B13">
        <v>60</v>
      </c>
      <c r="C13" s="3">
        <f t="shared" si="0"/>
        <v>333.15</v>
      </c>
      <c r="D13" s="5">
        <f>[1]!PropsSI("P","T",C13,"Q",1,"Water")/1000</f>
        <v>19.946434310682807</v>
      </c>
      <c r="E13" s="6">
        <f>[1]!PropsSI("D","T",$C13,"Q",0,"Water")</f>
        <v>983.16021717833348</v>
      </c>
      <c r="F13" s="6">
        <f>[1]!PropsSI("D","T",$C13,"Q",1,"Water")</f>
        <v>0.13042522259659892</v>
      </c>
      <c r="G13" s="4">
        <f>[1]!PropsSI("H","T",$C13,"Q",0,"Water")/1000</f>
        <v>251.18035191397209</v>
      </c>
      <c r="H13" s="14">
        <f>[1]!PropsSI("H","T",$C13,"Q",1,"Water")/1000</f>
        <v>2608.8348722177275</v>
      </c>
      <c r="I13" s="1"/>
    </row>
    <row r="14" spans="1:9" x14ac:dyDescent="0.35">
      <c r="A14" s="16"/>
      <c r="B14">
        <v>70</v>
      </c>
      <c r="C14" s="3">
        <f t="shared" si="0"/>
        <v>343.15</v>
      </c>
      <c r="D14" s="5">
        <f>[1]!PropsSI("P","T",C14,"Q",1,"Water")/1000</f>
        <v>31.200930025108303</v>
      </c>
      <c r="E14" s="6">
        <f>[1]!PropsSI("D","T",$C14,"Q",0,"Water")</f>
        <v>977.73365598192891</v>
      </c>
      <c r="F14" s="6">
        <f>[1]!PropsSI("D","T",$C14,"Q",1,"Water")</f>
        <v>0.1984307379418265</v>
      </c>
      <c r="G14" s="4">
        <f>[1]!PropsSI("H","T",$C14,"Q",0,"Water")/1000</f>
        <v>293.06519282229465</v>
      </c>
      <c r="H14" s="14">
        <f>[1]!PropsSI("H","T",$C14,"Q",1,"Water")/1000</f>
        <v>2626.0964008315309</v>
      </c>
      <c r="I14" s="1"/>
    </row>
    <row r="15" spans="1:9" x14ac:dyDescent="0.35">
      <c r="A15" s="16"/>
      <c r="B15">
        <v>80</v>
      </c>
      <c r="C15" s="3">
        <f t="shared" si="0"/>
        <v>353.15</v>
      </c>
      <c r="D15" s="5">
        <f>[1]!PropsSI("P","T",C15,"Q",1,"Water")/1000</f>
        <v>47.414474028971249</v>
      </c>
      <c r="E15" s="6">
        <f>[1]!PropsSI("D","T",$C15,"Q",0,"Water")</f>
        <v>971.76621871051327</v>
      </c>
      <c r="F15" s="6">
        <f>[1]!PropsSI("D","T",$C15,"Q",1,"Water")</f>
        <v>0.29367213474310316</v>
      </c>
      <c r="G15" s="4">
        <f>[1]!PropsSI("H","T",$C15,"Q",0,"Water")/1000</f>
        <v>335.01235325255703</v>
      </c>
      <c r="H15" s="14">
        <f>[1]!PropsSI("H","T",$C15,"Q",1,"Water")/1000</f>
        <v>2643.0158813452144</v>
      </c>
      <c r="I15" s="1"/>
    </row>
    <row r="16" spans="1:9" x14ac:dyDescent="0.35">
      <c r="A16" s="16"/>
      <c r="B16">
        <v>90</v>
      </c>
      <c r="C16" s="3">
        <f t="shared" si="0"/>
        <v>363.15</v>
      </c>
      <c r="D16" s="5">
        <f>[1]!PropsSI("P","T",C16,"Q",1,"Water")/1000</f>
        <v>70.181765812287622</v>
      </c>
      <c r="E16" s="6">
        <f>[1]!PropsSI("D","T",$C16,"Q",0,"Water")</f>
        <v>965.29532855043556</v>
      </c>
      <c r="F16" s="6">
        <f>[1]!PropsSI("D","T",$C16,"Q",1,"Water")</f>
        <v>0.4238979446321115</v>
      </c>
      <c r="G16" s="4">
        <f>[1]!PropsSI("H","T",$C16,"Q",0,"Water")/1000</f>
        <v>377.03938647775328</v>
      </c>
      <c r="H16" s="14">
        <f>[1]!PropsSI("H","T",$C16,"Q",1,"Water")/1000</f>
        <v>2659.5300141957373</v>
      </c>
      <c r="I16" s="1"/>
    </row>
    <row r="17" spans="1:9" x14ac:dyDescent="0.35">
      <c r="A17" s="16"/>
      <c r="B17">
        <v>100</v>
      </c>
      <c r="C17" s="3">
        <f t="shared" si="0"/>
        <v>373.15</v>
      </c>
      <c r="D17" s="5">
        <f>[1]!PropsSI("P","T",C17,"Q",1,"Water")/1000</f>
        <v>101.41799665682765</v>
      </c>
      <c r="E17" s="6">
        <f>[1]!PropsSI("D","T",$C17,"Q",0,"Water")</f>
        <v>958.34905160485675</v>
      </c>
      <c r="F17" s="6">
        <f>[1]!PropsSI("D","T",$C17,"Q",1,"Water")</f>
        <v>0.59816979192617503</v>
      </c>
      <c r="G17" s="4">
        <f>[1]!PropsSI("H","T",$C17,"Q",0,"Water")/1000</f>
        <v>419.16616289288692</v>
      </c>
      <c r="H17" s="14">
        <f>[1]!PropsSI("H","T",$C17,"Q",1,"Water")/1000</f>
        <v>2675.5698844194585</v>
      </c>
      <c r="I17" s="1"/>
    </row>
    <row r="18" spans="1:9" x14ac:dyDescent="0.35">
      <c r="A18" s="16"/>
      <c r="B18">
        <v>110</v>
      </c>
      <c r="C18" s="3">
        <f t="shared" si="0"/>
        <v>383.15</v>
      </c>
      <c r="D18" s="5">
        <f>[1]!PropsSI("P","T",C18,"Q",1,"Water")/1000</f>
        <v>143.37871294487454</v>
      </c>
      <c r="E18" s="6">
        <f>[1]!PropsSI("D","T",$C18,"Q",0,"Water")</f>
        <v>950.9480035889602</v>
      </c>
      <c r="F18" s="6">
        <f>[1]!PropsSI("D","T",$C18,"Q",1,"Water")</f>
        <v>0.82692959572358449</v>
      </c>
      <c r="G18" s="4">
        <f>[1]!PropsSI("H","T",$C18,"Q",0,"Water")/1000</f>
        <v>461.41518953432035</v>
      </c>
      <c r="H18" s="14">
        <f>[1]!PropsSI("H","T",$C18,"Q",1,"Water")/1000</f>
        <v>2691.0613426859568</v>
      </c>
      <c r="I18" s="1"/>
    </row>
    <row r="19" spans="1:9" x14ac:dyDescent="0.35">
      <c r="A19" s="16"/>
      <c r="B19">
        <v>120</v>
      </c>
      <c r="C19" s="3">
        <f t="shared" si="0"/>
        <v>393.15</v>
      </c>
      <c r="D19" s="5">
        <f>[1]!PropsSI("P","T",C19,"Q",1,"Water")/1000</f>
        <v>198.67442047541007</v>
      </c>
      <c r="E19" s="6">
        <f>[1]!PropsSI("D","T",$C19,"Q",0,"Water")</f>
        <v>943.10661743025275</v>
      </c>
      <c r="F19" s="6">
        <f>[1]!PropsSI("D","T",$C19,"Q",1,"Water")</f>
        <v>1.12206719176453</v>
      </c>
      <c r="G19" s="4">
        <f>[1]!PropsSI("H","T",$C19,"Q",0,"Water")/1000</f>
        <v>503.81169242146495</v>
      </c>
      <c r="H19" s="14">
        <f>[1]!PropsSI("H","T",$C19,"Q",1,"Water")/1000</f>
        <v>2705.925765793183</v>
      </c>
      <c r="I19" s="1"/>
    </row>
    <row r="20" spans="1:9" x14ac:dyDescent="0.35">
      <c r="A20" s="16"/>
      <c r="B20">
        <v>130</v>
      </c>
      <c r="C20" s="3">
        <f t="shared" si="0"/>
        <v>403.15</v>
      </c>
      <c r="D20" s="5">
        <f>[1]!PropsSI("P","T",C20,"Q",1,"Water")/1000</f>
        <v>270.27997679068989</v>
      </c>
      <c r="E20" s="6">
        <f>[1]!PropsSI("D","T",$C20,"Q",0,"Water")</f>
        <v>934.83398660708178</v>
      </c>
      <c r="F20" s="6">
        <f>[1]!PropsSI("D","T",$C20,"Q",1,"Water")</f>
        <v>1.4969959714829069</v>
      </c>
      <c r="G20" s="4">
        <f>[1]!PropsSI("H","T",$C20,"Q",0,"Water")/1000</f>
        <v>546.38362438115507</v>
      </c>
      <c r="H20" s="14">
        <f>[1]!PropsSI("H","T",$C20,"Q",1,"Water")/1000</f>
        <v>2720.0811051450492</v>
      </c>
      <c r="I20" s="1"/>
    </row>
    <row r="21" spans="1:9" x14ac:dyDescent="0.35">
      <c r="A21" s="16"/>
      <c r="B21">
        <v>140</v>
      </c>
      <c r="C21" s="3">
        <f t="shared" si="0"/>
        <v>413.15</v>
      </c>
      <c r="D21" s="5">
        <f>[1]!PropsSI("P","T",C21,"Q",1,"Water")/1000</f>
        <v>361.53909939878633</v>
      </c>
      <c r="E21" s="6">
        <f>[1]!PropsSI("D","T",$C21,"Q",0,"Water")</f>
        <v>926.13441329112368</v>
      </c>
      <c r="F21" s="6">
        <f>[1]!PropsSI("D","T",$C21,"Q",1,"Water")</f>
        <v>1.966745004512632</v>
      </c>
      <c r="G21" s="4">
        <f>[1]!PropsSI("H","T",$C21,"Q",0,"Water")/1000</f>
        <v>589.16169048823315</v>
      </c>
      <c r="H21" s="14">
        <f>[1]!PropsSI("H","T",$C21,"Q",1,"Water")/1000</f>
        <v>2733.4429731737537</v>
      </c>
      <c r="I21" s="1"/>
    </row>
    <row r="22" spans="1:9" x14ac:dyDescent="0.35">
      <c r="A22" s="16"/>
      <c r="B22">
        <v>150</v>
      </c>
      <c r="C22" s="3">
        <f t="shared" si="0"/>
        <v>423.15</v>
      </c>
      <c r="D22" s="5">
        <f>[1]!PropsSI("P","T",C22,"Q",1,"Water")/1000</f>
        <v>476.16453796900316</v>
      </c>
      <c r="E22" s="6">
        <f>[1]!PropsSI("D","T",$C22,"Q",0,"Water")</f>
        <v>917.00773926892646</v>
      </c>
      <c r="F22" s="6">
        <f>[1]!PropsSI("D","T",$C22,"Q",1,"Water")</f>
        <v>2.5480771470967247</v>
      </c>
      <c r="G22" s="4">
        <f>[1]!PropsSI("H","T",$C22,"Q",0,"Water")/1000</f>
        <v>632.17944178057064</v>
      </c>
      <c r="H22" s="14">
        <f>[1]!PropsSI("H","T",$C22,"Q",1,"Water")/1000</f>
        <v>2745.9254514300696</v>
      </c>
      <c r="I22" s="1"/>
    </row>
    <row r="23" spans="1:9" x14ac:dyDescent="0.35">
      <c r="A23" s="16"/>
      <c r="B23">
        <v>160</v>
      </c>
      <c r="C23" s="3">
        <f t="shared" si="0"/>
        <v>433.15</v>
      </c>
      <c r="D23" s="5">
        <f>[1]!PropsSI("P","T",C23,"Q",1,"Water")/1000</f>
        <v>618.23462142924154</v>
      </c>
      <c r="E23" s="6">
        <f>[1]!PropsSI("D","T",$C23,"Q",0,"Water")</f>
        <v>907.44950563407667</v>
      </c>
      <c r="F23" s="6">
        <f>[1]!PropsSI("D","T",$C23,"Q",1,"Water")</f>
        <v>3.2596441977624062</v>
      </c>
      <c r="G23" s="4">
        <f>[1]!PropsSI("H","T",$C23,"Q",0,"Water")/1000</f>
        <v>675.47346558322977</v>
      </c>
      <c r="H23" s="14">
        <f>[1]!PropsSI("H","T",$C23,"Q",1,"Water")/1000</f>
        <v>2757.4413489920958</v>
      </c>
      <c r="I23" s="1"/>
    </row>
    <row r="24" spans="1:9" x14ac:dyDescent="0.35">
      <c r="A24" s="16"/>
      <c r="B24">
        <v>170</v>
      </c>
      <c r="C24" s="3">
        <f t="shared" si="0"/>
        <v>443.15</v>
      </c>
      <c r="D24" s="5">
        <f>[1]!PropsSI("P","T",C24,"Q",1,"Water")/1000</f>
        <v>792.18700698009991</v>
      </c>
      <c r="E24" s="6">
        <f>[1]!PropsSI("D","T",$C24,"Q",0,"Water")</f>
        <v>897.45096587597152</v>
      </c>
      <c r="F24" s="6">
        <f>[1]!PropsSI("D","T",$C24,"Q",1,"Water")</f>
        <v>4.1221925343385388</v>
      </c>
      <c r="G24" s="4">
        <f>[1]!PropsSI("H","T",$C24,"Q",0,"Water")/1000</f>
        <v>719.0836909629528</v>
      </c>
      <c r="H24" s="14">
        <f>[1]!PropsSI("H","T",$C24,"Q",1,"Water")/1000</f>
        <v>2767.9017622614256</v>
      </c>
      <c r="I24" s="1"/>
    </row>
    <row r="25" spans="1:9" x14ac:dyDescent="0.35">
      <c r="A25" s="16"/>
      <c r="B25">
        <v>180</v>
      </c>
      <c r="C25" s="3">
        <f t="shared" si="0"/>
        <v>453.15</v>
      </c>
      <c r="D25" s="5">
        <f>[1]!PropsSI("P","T",C25,"Q",1,"Water")/1000</f>
        <v>1002.8105360799185</v>
      </c>
      <c r="E25" s="6">
        <f>[1]!PropsSI("D","T",$C25,"Q",0,"Water")</f>
        <v>886.99896128082264</v>
      </c>
      <c r="F25" s="6">
        <f>[1]!PropsSI("D","T",$C25,"Q",1,"Water")</f>
        <v>5.1588361289208073</v>
      </c>
      <c r="G25" s="4">
        <f>[1]!PropsSI("H","T",$C25,"Q",0,"Water")/1000</f>
        <v>763.05382639583058</v>
      </c>
      <c r="H25" s="14">
        <f>[1]!PropsSI("H","T",$C25,"Q",1,"Water")/1000</f>
        <v>2777.2149260215888</v>
      </c>
      <c r="I25" s="1"/>
    </row>
    <row r="26" spans="1:9" x14ac:dyDescent="0.35">
      <c r="A26" s="16"/>
      <c r="B26">
        <v>190</v>
      </c>
      <c r="C26" s="3">
        <f t="shared" si="0"/>
        <v>463.15</v>
      </c>
      <c r="D26" s="5">
        <f>[1]!PropsSI("P","T",C26,"Q",1,"Water")/1000</f>
        <v>1255.236155158148</v>
      </c>
      <c r="E26" s="6">
        <f>[1]!PropsSI("D","T",$C26,"Q",0,"Water")</f>
        <v>876.07565429885494</v>
      </c>
      <c r="F26" s="6">
        <f>[1]!PropsSI("D","T",$C26,"Q",1,"Water")</f>
        <v>6.3954187812093135</v>
      </c>
      <c r="G26" s="4">
        <f>[1]!PropsSI("H","T",$C26,"Q",0,"Water")/1000</f>
        <v>807.43195145024936</v>
      </c>
      <c r="H26" s="14">
        <f>[1]!PropsSI("H","T",$C26,"Q",1,"Water")/1000</f>
        <v>2785.2844447620296</v>
      </c>
      <c r="I26" s="1"/>
    </row>
    <row r="27" spans="1:9" x14ac:dyDescent="0.35">
      <c r="A27" s="16"/>
      <c r="B27">
        <v>200</v>
      </c>
      <c r="C27" s="3">
        <f t="shared" si="0"/>
        <v>473.15</v>
      </c>
      <c r="D27" s="5">
        <f>[1]!PropsSI("P","T",C27,"Q",1,"Water")/1000</f>
        <v>1554.9279004687048</v>
      </c>
      <c r="E27" s="6">
        <f>[1]!PropsSI("D","T",$C27,"Q",0,"Water")</f>
        <v>864.65810228712621</v>
      </c>
      <c r="F27" s="6">
        <f>[1]!PropsSI("D","T",$C27,"Q",1,"Water")</f>
        <v>7.8609945167844684</v>
      </c>
      <c r="G27" s="4">
        <f>[1]!PropsSI("H","T",$C27,"Q",0,"Water")/1000</f>
        <v>852.27129446018341</v>
      </c>
      <c r="H27" s="14">
        <f>[1]!PropsSI("H","T",$C27,"Q",1,"Water")/1000</f>
        <v>2792.0070226267235</v>
      </c>
      <c r="I27" s="1"/>
    </row>
    <row r="28" spans="1:9" x14ac:dyDescent="0.35">
      <c r="A28" s="16"/>
      <c r="B28">
        <v>210</v>
      </c>
      <c r="C28" s="3">
        <f t="shared" si="0"/>
        <v>483.15</v>
      </c>
      <c r="D28" s="5">
        <f>[1]!PropsSI("P","T",C28,"Q",1,"Water")/1000</f>
        <v>1907.674993532605</v>
      </c>
      <c r="E28" s="6">
        <f>[1]!PropsSI("D","T",$C28,"Q",0,"Water")</f>
        <v>852.71763851005767</v>
      </c>
      <c r="F28" s="6">
        <f>[1]!PropsSI("D","T",$C28,"Q",1,"Water")</f>
        <v>9.5884655414268192</v>
      </c>
      <c r="G28" s="4">
        <f>[1]!PropsSI("H","T",$C28,"Q",0,"Water")/1000</f>
        <v>897.63124444416496</v>
      </c>
      <c r="H28" s="14">
        <f>[1]!PropsSI("H","T",$C28,"Q",1,"Water")/1000</f>
        <v>2797.2697683428009</v>
      </c>
      <c r="I28" s="1"/>
    </row>
    <row r="29" spans="1:9" x14ac:dyDescent="0.35">
      <c r="A29" s="16"/>
      <c r="B29">
        <v>220</v>
      </c>
      <c r="C29" s="3">
        <f t="shared" si="0"/>
        <v>493.15</v>
      </c>
      <c r="D29" s="5">
        <f>[1]!PropsSI("P","T",C29,"Q",1,"Water")/1000</f>
        <v>2319.5861702585194</v>
      </c>
      <c r="E29" s="6">
        <f>[1]!PropsSI("D","T",$C29,"Q",0,"Water")</f>
        <v>840.21900675010772</v>
      </c>
      <c r="F29" s="6">
        <f>[1]!PropsSI("D","T",$C29,"Q",1,"Water")</f>
        <v>11.615432874295115</v>
      </c>
      <c r="G29" s="4">
        <f>[1]!PropsSI("H","T",$C29,"Q",0,"Water")/1000</f>
        <v>943.57867004224283</v>
      </c>
      <c r="H29" s="14">
        <f>[1]!PropsSI("H","T",$C29,"Q",1,"Water")/1000</f>
        <v>2800.9470527725607</v>
      </c>
      <c r="I29" s="1"/>
    </row>
    <row r="30" spans="1:9" x14ac:dyDescent="0.35">
      <c r="A30" s="16"/>
      <c r="B30">
        <v>230</v>
      </c>
      <c r="C30" s="3">
        <f t="shared" si="0"/>
        <v>503.15</v>
      </c>
      <c r="D30" s="5">
        <f>[1]!PropsSI("P","T",C30,"Q",1,"Water")/1000</f>
        <v>2797.087496929787</v>
      </c>
      <c r="E30" s="6">
        <f>[1]!PropsSI("D","T",$C30,"Q",0,"Water")</f>
        <v>827.11916655179982</v>
      </c>
      <c r="F30" s="6">
        <f>[1]!PropsSI("D","T",$C30,"Q",1,"Water")</f>
        <v>13.985338957508464</v>
      </c>
      <c r="G30" s="4">
        <f>[1]!PropsSI("H","T",$C30,"Q",0,"Water")/1000</f>
        <v>990.18965507747521</v>
      </c>
      <c r="H30" s="14">
        <f>[1]!PropsSI("H","T",$C30,"Q",1,"Water")/1000</f>
        <v>2802.8967584010438</v>
      </c>
      <c r="I30" s="1"/>
    </row>
    <row r="31" spans="1:9" x14ac:dyDescent="0.35">
      <c r="A31" s="16"/>
      <c r="B31">
        <v>240</v>
      </c>
      <c r="C31" s="3">
        <f t="shared" si="0"/>
        <v>513.15</v>
      </c>
      <c r="D31" s="5">
        <f>[1]!PropsSI("P","T",C31,"Q",1,"Water")/1000</f>
        <v>3346.9251442702057</v>
      </c>
      <c r="E31" s="6">
        <f>[1]!PropsSI("D","T",$C31,"Q",0,"Water")</f>
        <v>813.36564216910097</v>
      </c>
      <c r="F31" s="6">
        <f>[1]!PropsSI("D","T",$C31,"Q",1,"Water")</f>
        <v>16.749019301603241</v>
      </c>
      <c r="G31" s="4">
        <f>[1]!PropsSI("H","T",$C31,"Q",0,"Water")/1000</f>
        <v>1037.5518165790288</v>
      </c>
      <c r="H31" s="14">
        <f>[1]!PropsSI("H","T",$C31,"Q",1,"Water")/1000</f>
        <v>2802.9556046252342</v>
      </c>
      <c r="I31" s="1"/>
    </row>
    <row r="32" spans="1:9" x14ac:dyDescent="0.35">
      <c r="A32" s="16"/>
      <c r="B32">
        <v>250</v>
      </c>
      <c r="C32" s="3">
        <f t="shared" si="0"/>
        <v>523.15</v>
      </c>
      <c r="D32" s="5">
        <f>[1]!PropsSI("P","T",C32,"Q",1,"Water")/1000</f>
        <v>3976.1749306515494</v>
      </c>
      <c r="E32" s="6">
        <f>[1]!PropsSI("D","T",$C32,"Q",0,"Water")</f>
        <v>798.89422022042197</v>
      </c>
      <c r="F32" s="6">
        <f>[1]!PropsSI("D","T",$C32,"Q",1,"Water")</f>
        <v>19.966840438464825</v>
      </c>
      <c r="G32" s="4">
        <f>[1]!PropsSI("H","T",$C32,"Q",0,"Water")/1000</f>
        <v>1085.7674588110478</v>
      </c>
      <c r="H32" s="14">
        <f>[1]!PropsSI("H","T",$C32,"Q",1,"Water")/1000</f>
        <v>2800.9330729758303</v>
      </c>
      <c r="I32" s="1"/>
    </row>
    <row r="33" spans="1:9" x14ac:dyDescent="0.35">
      <c r="A33" s="16"/>
      <c r="B33">
        <v>260</v>
      </c>
      <c r="C33" s="3">
        <f t="shared" si="0"/>
        <v>533.15</v>
      </c>
      <c r="D33" s="5">
        <f>[1]!PropsSI("P","T",C33,"Q",1,"Water")/1000</f>
        <v>4692.260992299739</v>
      </c>
      <c r="E33" s="6">
        <f>[1]!PropsSI("D","T",$C33,"Q",0,"Water")</f>
        <v>783.62569286973451</v>
      </c>
      <c r="F33" s="6">
        <f>[1]!PropsSI("D","T",$C33,"Q",1,"Water")</f>
        <v>23.711700367712179</v>
      </c>
      <c r="G33" s="4">
        <f>[1]!PropsSI("H","T",$C33,"Q",0,"Water")/1000</f>
        <v>1134.9579569891282</v>
      </c>
      <c r="H33" s="14">
        <f>[1]!PropsSI("H","T",$C33,"Q",1,"Water")/1000</f>
        <v>2796.6032203853524</v>
      </c>
      <c r="I33" s="1"/>
    </row>
    <row r="34" spans="1:9" x14ac:dyDescent="0.35">
      <c r="A34" s="16"/>
      <c r="B34">
        <v>270</v>
      </c>
      <c r="C34" s="3">
        <f t="shared" si="0"/>
        <v>543.15</v>
      </c>
      <c r="D34" s="5">
        <f>[1]!PropsSI("P","T",C34,"Q",1,"Water")/1000</f>
        <v>5502.9867830140456</v>
      </c>
      <c r="E34" s="6">
        <f>[1]!PropsSI("D","T",$C34,"Q",0,"Water")</f>
        <v>767.46116679898012</v>
      </c>
      <c r="F34" s="6">
        <f>[1]!PropsSI("D","T",$C34,"Q",1,"Water")</f>
        <v>28.073335624424541</v>
      </c>
      <c r="G34" s="4">
        <f>[1]!PropsSI("H","T",$C34,"Q",0,"Water")/1000</f>
        <v>1185.2699943566131</v>
      </c>
      <c r="H34" s="14">
        <f>[1]!PropsSI("H","T",$C34,"Q",1,"Water")/1000</f>
        <v>2789.6932193000089</v>
      </c>
      <c r="I34" s="1"/>
    </row>
    <row r="35" spans="1:9" x14ac:dyDescent="0.35">
      <c r="A35" s="16"/>
      <c r="B35">
        <v>280</v>
      </c>
      <c r="C35" s="3">
        <f t="shared" si="0"/>
        <v>553.15</v>
      </c>
      <c r="D35" s="5">
        <f>[1]!PropsSI("P","T",C35,"Q",1,"Water")/1000</f>
        <v>6416.5829095319377</v>
      </c>
      <c r="E35" s="6">
        <f>[1]!PropsSI("D","T",$C35,"Q",0,"Water")</f>
        <v>750.2751612998818</v>
      </c>
      <c r="F35" s="6">
        <f>[1]!PropsSI("D","T",$C35,"Q",1,"Water")</f>
        <v>33.164674054045939</v>
      </c>
      <c r="G35" s="4">
        <f>[1]!PropsSI("H","T",$C35,"Q",0,"Water")/1000</f>
        <v>1236.8846659592693</v>
      </c>
      <c r="H35" s="14">
        <f>[1]!PropsSI("H","T",$C35,"Q",1,"Water")/1000</f>
        <v>2779.8667305294525</v>
      </c>
      <c r="I35" s="1"/>
    </row>
    <row r="36" spans="1:9" x14ac:dyDescent="0.35">
      <c r="A36" s="16"/>
      <c r="B36">
        <v>290</v>
      </c>
      <c r="C36" s="3">
        <f t="shared" si="0"/>
        <v>563.15</v>
      </c>
      <c r="D36" s="5">
        <f>[1]!PropsSI("P","T",C36,"Q",1,"Water")/1000</f>
        <v>7441.7783444204633</v>
      </c>
      <c r="E36" s="6">
        <f>[1]!PropsSI("D","T",$C36,"Q",0,"Water")</f>
        <v>731.90519964368571</v>
      </c>
      <c r="F36" s="6">
        <f>[1]!PropsSI("D","T",$C36,"Q",1,"Water")</f>
        <v>39.131512960158432</v>
      </c>
      <c r="G36" s="4">
        <f>[1]!PropsSI("H","T",$C36,"Q",0,"Water")/1000</f>
        <v>1290.0311497479663</v>
      </c>
      <c r="H36" s="14">
        <f>[1]!PropsSI("H","T",$C36,"Q",1,"Water")/1000</f>
        <v>2766.6990506391348</v>
      </c>
      <c r="I36" s="1"/>
    </row>
    <row r="37" spans="1:9" x14ac:dyDescent="0.35">
      <c r="A37" s="16"/>
      <c r="B37">
        <v>300</v>
      </c>
      <c r="C37" s="3">
        <f t="shared" si="0"/>
        <v>573.15</v>
      </c>
      <c r="D37" s="5">
        <f>[1]!PropsSI("P","T",C37,"Q",1,"Water")/1000</f>
        <v>8587.9049408359151</v>
      </c>
      <c r="E37" s="6">
        <f>[1]!PropsSI("D","T",$C37,"Q",0,"Water")</f>
        <v>712.13563881961761</v>
      </c>
      <c r="F37" s="6">
        <f>[1]!PropsSI("D","T",$C37,"Q",1,"Water")</f>
        <v>46.167849523793478</v>
      </c>
      <c r="G37" s="4">
        <f>[1]!PropsSI("H","T",$C37,"Q",0,"Water")/1000</f>
        <v>1345.0079264161152</v>
      </c>
      <c r="H37" s="14">
        <f>[1]!PropsSI("H","T",$C37,"Q",1,"Water")/1000</f>
        <v>2749.6387614002551</v>
      </c>
      <c r="I37" s="1"/>
    </row>
    <row r="38" spans="1:9" x14ac:dyDescent="0.35">
      <c r="A38" s="16"/>
      <c r="B38">
        <v>310</v>
      </c>
      <c r="C38" s="3">
        <f t="shared" si="0"/>
        <v>583.15</v>
      </c>
      <c r="D38" s="5">
        <f>[1]!PropsSI("P","T",C38,"Q",1,"Water")/1000</f>
        <v>9865.051211181737</v>
      </c>
      <c r="E38" s="6">
        <f>[1]!PropsSI("D","T",$C38,"Q",0,"Water")</f>
        <v>690.671545609845</v>
      </c>
      <c r="F38" s="6">
        <f>[1]!PropsSI("D","T",$C38,"Q",1,"Water")</f>
        <v>54.541361541638373</v>
      </c>
      <c r="G38" s="4">
        <f>[1]!PropsSI("H","T",$C38,"Q",0,"Water")/1000</f>
        <v>1402.217126000967</v>
      </c>
      <c r="H38" s="14">
        <f>[1]!PropsSI("H","T",$C38,"Q",1,"Water")/1000</f>
        <v>2727.9458789653854</v>
      </c>
      <c r="I38" s="1"/>
    </row>
    <row r="39" spans="1:9" x14ac:dyDescent="0.35">
      <c r="A39" s="16"/>
      <c r="B39">
        <v>320</v>
      </c>
      <c r="C39" s="3">
        <f t="shared" si="0"/>
        <v>593.15</v>
      </c>
      <c r="D39" s="5">
        <f>[1]!PropsSI("P","T",C39,"Q",1,"Water")/1000</f>
        <v>11284.292927464585</v>
      </c>
      <c r="E39" s="6">
        <f>[1]!PropsSI("D","T",$C39,"Q",0,"Water")</f>
        <v>667.09384803259456</v>
      </c>
      <c r="F39" s="6">
        <f>[1]!PropsSI("D","T",$C39,"Q",1,"Water")</f>
        <v>64.63843241988674</v>
      </c>
      <c r="G39" s="4">
        <f>[1]!PropsSI("H","T",$C39,"Q",0,"Water")/1000</f>
        <v>1462.2236463970949</v>
      </c>
      <c r="H39" s="14">
        <f>[1]!PropsSI("H","T",$C39,"Q",1,"Water")/1000</f>
        <v>2700.5857692409318</v>
      </c>
      <c r="I39" s="1"/>
    </row>
    <row r="40" spans="1:9" x14ac:dyDescent="0.35">
      <c r="A40" s="16"/>
      <c r="B40">
        <v>330</v>
      </c>
      <c r="C40" s="3">
        <f t="shared" si="0"/>
        <v>603.15</v>
      </c>
      <c r="D40" s="5">
        <f>[1]!PropsSI("P","T",C40,"Q",1,"Water")/1000</f>
        <v>12858.051600204721</v>
      </c>
      <c r="E40" s="6">
        <f>[1]!PropsSI("D","T",$C40,"Q",0,"Water")</f>
        <v>640.77321526639412</v>
      </c>
      <c r="F40" s="6">
        <f>[1]!PropsSI("D","T",$C40,"Q",1,"Water")</f>
        <v>77.050425987314995</v>
      </c>
      <c r="G40" s="4">
        <f>[1]!PropsSI("H","T",$C40,"Q",0,"Water")/1000</f>
        <v>1525.8683270550703</v>
      </c>
      <c r="H40" s="14">
        <f>[1]!PropsSI("H","T",$C40,"Q",1,"Water")/1000</f>
        <v>2666.0311405571597</v>
      </c>
      <c r="I40" s="1"/>
    </row>
    <row r="41" spans="1:9" x14ac:dyDescent="0.35">
      <c r="A41" s="16"/>
      <c r="B41">
        <v>340</v>
      </c>
      <c r="C41" s="3">
        <f t="shared" si="0"/>
        <v>613.15</v>
      </c>
      <c r="D41" s="5">
        <f>[1]!PropsSI("P","T",C41,"Q",1,"Water")/1000</f>
        <v>14600.677372002101</v>
      </c>
      <c r="E41" s="6">
        <f>[1]!PropsSI("D","T",$C41,"Q",0,"Water")</f>
        <v>610.66759832540379</v>
      </c>
      <c r="F41" s="6">
        <f>[1]!PropsSI("D","T",$C41,"Q",1,"Water")</f>
        <v>92.758782507417237</v>
      </c>
      <c r="G41" s="4">
        <f>[1]!PropsSI("H","T",$C41,"Q",0,"Water")/1000</f>
        <v>1594.5289922362922</v>
      </c>
      <c r="H41" s="14">
        <f>[1]!PropsSI("H","T",$C41,"Q",1,"Water")/1000</f>
        <v>2621.8455755251803</v>
      </c>
      <c r="I41" s="1"/>
    </row>
    <row r="42" spans="1:9" x14ac:dyDescent="0.35">
      <c r="A42" s="16"/>
      <c r="B42">
        <v>350</v>
      </c>
      <c r="C42" s="3">
        <f t="shared" si="0"/>
        <v>623.15</v>
      </c>
      <c r="D42" s="5">
        <f>[1]!PropsSI("P","T",C42,"Q",1,"Water")/1000</f>
        <v>16529.415139050998</v>
      </c>
      <c r="E42" s="6">
        <f>[1]!PropsSI("D","T",$C42,"Q",0,"Water")</f>
        <v>574.70651653764185</v>
      </c>
      <c r="F42" s="6">
        <f>[1]!PropsSI("D","T",$C42,"Q",1,"Water")</f>
        <v>113.60561050162514</v>
      </c>
      <c r="G42" s="4">
        <f>[1]!PropsSI("H","T",$C42,"Q",0,"Water")/1000</f>
        <v>1670.8899067278071</v>
      </c>
      <c r="H42" s="14">
        <f>[1]!PropsSI("H","T",$C42,"Q",1,"Water")/1000</f>
        <v>2563.6367109445755</v>
      </c>
      <c r="I42" s="1"/>
    </row>
    <row r="43" spans="1:9" x14ac:dyDescent="0.35">
      <c r="A43" s="16"/>
      <c r="B43">
        <v>360</v>
      </c>
      <c r="C43" s="3">
        <f t="shared" si="0"/>
        <v>633.15</v>
      </c>
      <c r="D43" s="5">
        <f>[1]!PropsSI("P","T",C43,"Q",1,"Water")/1000</f>
        <v>18666.006646276288</v>
      </c>
      <c r="E43" s="6">
        <f>[1]!PropsSI("D","T",$C43,"Q",0,"Water")</f>
        <v>527.59162942229682</v>
      </c>
      <c r="F43" s="6">
        <f>[1]!PropsSI("D","T",$C43,"Q",1,"Water")</f>
        <v>143.89841140848571</v>
      </c>
      <c r="G43" s="4">
        <f>[1]!PropsSI("H","T",$C43,"Q",0,"Water")/1000</f>
        <v>1761.6646205355491</v>
      </c>
      <c r="H43" s="14">
        <f>[1]!PropsSI("H","T",$C43,"Q",1,"Water")/1000</f>
        <v>2481.492483335971</v>
      </c>
      <c r="I43" s="1"/>
    </row>
    <row r="44" spans="1:9" x14ac:dyDescent="0.35">
      <c r="A44" s="16"/>
      <c r="B44">
        <v>370</v>
      </c>
      <c r="C44" s="3">
        <f t="shared" si="0"/>
        <v>643.15</v>
      </c>
      <c r="D44" s="5">
        <f>[1]!PropsSI("P","T",C44,"Q",1,"Water")/1000</f>
        <v>21043.563147465786</v>
      </c>
      <c r="E44" s="6">
        <f>[1]!PropsSI("D","T",$C44,"Q",0,"Water")</f>
        <v>451.42564747531935</v>
      </c>
      <c r="F44" s="6">
        <f>[1]!PropsSI("D","T",$C44,"Q",1,"Water")</f>
        <v>201.83931641742441</v>
      </c>
      <c r="G44" s="4">
        <f>[1]!PropsSI("H","T",$C44,"Q",0,"Water")/1000</f>
        <v>1890.6872488661711</v>
      </c>
      <c r="H44" s="14">
        <f>[1]!PropsSI("H","T",$C44,"Q",1,"Water")/1000</f>
        <v>2334.5182916068734</v>
      </c>
      <c r="I44" s="1"/>
    </row>
    <row r="45" spans="1:9" ht="15" thickBot="1" x14ac:dyDescent="0.4">
      <c r="A45" s="16"/>
      <c r="B45" s="15">
        <f>C45-273.15</f>
        <v>373.94600000000003</v>
      </c>
      <c r="C45" s="40">
        <f>[1]!Props1SI("Tcrit","Water")</f>
        <v>647.096</v>
      </c>
      <c r="D45" s="5">
        <f>[1]!Props1SI("Pcrit","Water")/1000</f>
        <v>22064</v>
      </c>
      <c r="E45" s="6">
        <f>[1]!PropsSI("D","T",$C45,"Q",0,"Water")</f>
        <v>322.00000000000006</v>
      </c>
      <c r="F45" s="6">
        <f>[1]!PropsSI("D","T",$C45,"Q",1,"Water")</f>
        <v>322.00000000000006</v>
      </c>
      <c r="G45" s="4">
        <f>[1]!PropsSI("H","T",$C45,"Q",0,"Water")/1000</f>
        <v>2084.2562559079452</v>
      </c>
      <c r="H45" s="14">
        <f>[1]!PropsSI("H","T",$C45,"Q",1,"Water")/1000</f>
        <v>2084.2562559079452</v>
      </c>
      <c r="I45" s="1"/>
    </row>
    <row r="46" spans="1:9" ht="15" thickTop="1" x14ac:dyDescent="0.35">
      <c r="A46" s="1"/>
      <c r="B46" s="1"/>
      <c r="C46" s="1"/>
      <c r="D46" s="41"/>
      <c r="E46" s="41"/>
      <c r="F46" s="41"/>
      <c r="G46" s="41"/>
      <c r="H46" s="41"/>
      <c r="I46" s="1"/>
    </row>
  </sheetData>
  <mergeCells count="1">
    <mergeCell ref="B2:H2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J21"/>
  <sheetViews>
    <sheetView showGridLines="0" workbookViewId="0">
      <selection activeCell="E10" sqref="E10"/>
    </sheetView>
  </sheetViews>
  <sheetFormatPr baseColWidth="10" defaultColWidth="8.90625" defaultRowHeight="14.5" x14ac:dyDescent="0.35"/>
  <cols>
    <col min="2" max="2" width="3.6328125" customWidth="1"/>
    <col min="3" max="3" width="18.1796875" customWidth="1"/>
    <col min="4" max="4" width="3.81640625" customWidth="1"/>
    <col min="5" max="5" width="24.08984375" customWidth="1"/>
    <col min="6" max="6" width="3.36328125" customWidth="1"/>
    <col min="7" max="7" width="4.6328125" customWidth="1"/>
    <col min="8" max="8" width="3.1796875" customWidth="1"/>
  </cols>
  <sheetData>
    <row r="1" spans="1:10" x14ac:dyDescent="0.35">
      <c r="A1" s="48"/>
      <c r="B1" s="48"/>
      <c r="C1" s="48"/>
      <c r="D1" s="48"/>
      <c r="E1" s="48"/>
      <c r="F1" s="48"/>
      <c r="G1" s="48"/>
      <c r="H1" s="48"/>
    </row>
    <row r="2" spans="1:10" ht="15" thickBot="1" x14ac:dyDescent="0.4">
      <c r="A2" s="48"/>
      <c r="B2" s="56"/>
      <c r="C2" s="56"/>
      <c r="D2" s="56"/>
      <c r="E2" s="56"/>
      <c r="F2" s="56"/>
      <c r="G2" s="48"/>
      <c r="H2" s="48"/>
    </row>
    <row r="3" spans="1:10" ht="15" thickTop="1" x14ac:dyDescent="0.35">
      <c r="A3" s="57"/>
      <c r="B3" s="45"/>
      <c r="C3" s="63"/>
      <c r="D3" s="63"/>
      <c r="E3" s="63"/>
      <c r="F3" s="49"/>
      <c r="G3" s="48"/>
      <c r="H3" s="48"/>
    </row>
    <row r="4" spans="1:10" ht="18.5" x14ac:dyDescent="0.45">
      <c r="A4" s="57"/>
      <c r="B4" s="45"/>
      <c r="C4" s="140" t="s">
        <v>522</v>
      </c>
      <c r="D4" s="141"/>
      <c r="E4" s="142"/>
      <c r="F4" s="62"/>
      <c r="G4" s="48"/>
      <c r="H4" s="48"/>
    </row>
    <row r="5" spans="1:10" ht="15" thickBot="1" x14ac:dyDescent="0.4">
      <c r="A5" s="57"/>
      <c r="B5" s="45"/>
      <c r="C5" s="45"/>
      <c r="D5" s="45"/>
      <c r="E5" s="45"/>
      <c r="F5" s="49"/>
      <c r="G5" s="48"/>
      <c r="H5" s="48"/>
    </row>
    <row r="6" spans="1:10" ht="15.5" thickTop="1" thickBot="1" x14ac:dyDescent="0.4">
      <c r="A6" s="57"/>
      <c r="B6" s="45"/>
      <c r="C6" s="46" t="s">
        <v>406</v>
      </c>
      <c r="D6" s="45"/>
      <c r="E6" s="58" t="s">
        <v>514</v>
      </c>
      <c r="F6" s="53"/>
      <c r="G6" s="48"/>
      <c r="H6" s="48"/>
    </row>
    <row r="7" spans="1:10" ht="15.5" thickTop="1" thickBot="1" x14ac:dyDescent="0.4">
      <c r="A7" s="57"/>
      <c r="B7" s="45"/>
      <c r="C7" s="47"/>
      <c r="D7" s="45"/>
      <c r="E7" s="52"/>
      <c r="F7" s="49"/>
      <c r="G7" s="48"/>
      <c r="H7" s="48"/>
    </row>
    <row r="8" spans="1:10" ht="15.5" thickTop="1" thickBot="1" x14ac:dyDescent="0.4">
      <c r="A8" s="57"/>
      <c r="B8" s="45"/>
      <c r="C8" s="46" t="s">
        <v>405</v>
      </c>
      <c r="D8" s="55"/>
      <c r="E8" s="58" t="s">
        <v>122</v>
      </c>
      <c r="F8" s="49"/>
      <c r="G8" s="48"/>
      <c r="H8" s="48"/>
    </row>
    <row r="9" spans="1:10" ht="15.5" thickTop="1" thickBot="1" x14ac:dyDescent="0.4">
      <c r="A9" s="57"/>
      <c r="B9" s="45"/>
      <c r="C9" s="47"/>
      <c r="D9" s="45"/>
      <c r="E9" s="52"/>
      <c r="F9" s="49"/>
      <c r="G9" s="48"/>
      <c r="H9" s="48"/>
    </row>
    <row r="10" spans="1:10" ht="15.5" thickTop="1" thickBot="1" x14ac:dyDescent="0.4">
      <c r="A10" s="57"/>
      <c r="B10" s="45"/>
      <c r="C10" s="46" t="s">
        <v>517</v>
      </c>
      <c r="D10" s="45"/>
      <c r="E10" s="58" t="s">
        <v>366</v>
      </c>
      <c r="F10" s="53"/>
      <c r="G10" s="48"/>
      <c r="H10" s="48"/>
    </row>
    <row r="11" spans="1:10" ht="15.5" thickTop="1" thickBot="1" x14ac:dyDescent="0.4">
      <c r="A11" s="57"/>
      <c r="B11" s="45"/>
      <c r="C11" s="46"/>
      <c r="D11" s="45"/>
      <c r="E11" s="52"/>
      <c r="F11" s="49"/>
      <c r="G11" s="48"/>
      <c r="H11" s="48"/>
      <c r="J11" s="64"/>
    </row>
    <row r="12" spans="1:10" ht="15" thickTop="1" x14ac:dyDescent="0.35">
      <c r="A12" s="57"/>
      <c r="B12" s="45"/>
      <c r="C12" s="46" t="s">
        <v>518</v>
      </c>
      <c r="D12" s="55"/>
      <c r="E12" s="59" t="s">
        <v>338</v>
      </c>
      <c r="F12" s="49"/>
      <c r="G12" s="48"/>
      <c r="H12" s="48"/>
    </row>
    <row r="13" spans="1:10" ht="15" thickBot="1" x14ac:dyDescent="0.4">
      <c r="A13" s="57"/>
      <c r="B13" s="45"/>
      <c r="C13" s="46" t="s">
        <v>519</v>
      </c>
      <c r="D13" s="55"/>
      <c r="E13" s="60">
        <v>390</v>
      </c>
      <c r="F13" s="49"/>
      <c r="G13" s="48"/>
      <c r="H13" s="48"/>
    </row>
    <row r="14" spans="1:10" ht="15.5" thickTop="1" thickBot="1" x14ac:dyDescent="0.4">
      <c r="A14" s="57"/>
      <c r="B14" s="45"/>
      <c r="C14" s="46"/>
      <c r="D14" s="45"/>
      <c r="E14" s="45"/>
      <c r="F14" s="49"/>
      <c r="G14" s="48"/>
      <c r="H14" s="48"/>
    </row>
    <row r="15" spans="1:10" ht="15" thickTop="1" x14ac:dyDescent="0.35">
      <c r="A15" s="57"/>
      <c r="B15" s="45"/>
      <c r="C15" s="46" t="s">
        <v>520</v>
      </c>
      <c r="D15" s="55"/>
      <c r="E15" s="59" t="s">
        <v>304</v>
      </c>
      <c r="F15" s="49"/>
      <c r="G15" s="48"/>
      <c r="H15" s="48"/>
    </row>
    <row r="16" spans="1:10" ht="15" thickBot="1" x14ac:dyDescent="0.4">
      <c r="A16" s="57"/>
      <c r="B16" s="45"/>
      <c r="C16" s="46" t="s">
        <v>519</v>
      </c>
      <c r="D16" s="55"/>
      <c r="E16" s="60">
        <v>9000</v>
      </c>
      <c r="F16" s="49"/>
      <c r="G16" s="48"/>
      <c r="H16" s="48"/>
    </row>
    <row r="17" spans="1:8" ht="15.5" thickTop="1" thickBot="1" x14ac:dyDescent="0.4">
      <c r="A17" s="57"/>
      <c r="B17" s="45"/>
      <c r="C17" s="46"/>
      <c r="D17" s="45"/>
      <c r="E17" s="54"/>
      <c r="F17" s="49"/>
      <c r="G17" s="48"/>
      <c r="H17" s="48"/>
    </row>
    <row r="18" spans="1:8" ht="15.5" thickTop="1" thickBot="1" x14ac:dyDescent="0.4">
      <c r="A18" s="57"/>
      <c r="B18" s="45"/>
      <c r="C18" s="46" t="s">
        <v>521</v>
      </c>
      <c r="D18" s="45"/>
      <c r="E18" s="61">
        <f>[1]!PropsSI(E10,E12,E13,E15,E16,E8)</f>
        <v>1.9174381098812321E-5</v>
      </c>
      <c r="F18" s="53"/>
      <c r="G18" s="48"/>
      <c r="H18" s="48"/>
    </row>
    <row r="19" spans="1:8" ht="15.5" thickTop="1" thickBot="1" x14ac:dyDescent="0.4">
      <c r="A19" s="57"/>
      <c r="B19" s="50"/>
      <c r="C19" s="50"/>
      <c r="D19" s="50"/>
      <c r="E19" s="50"/>
      <c r="F19" s="51"/>
      <c r="G19" s="48"/>
      <c r="H19" s="48"/>
    </row>
    <row r="20" spans="1:8" ht="15" thickTop="1" x14ac:dyDescent="0.35">
      <c r="A20" s="48"/>
      <c r="B20" s="48"/>
      <c r="C20" s="48"/>
      <c r="D20" s="48"/>
      <c r="E20" s="48"/>
      <c r="F20" s="48"/>
      <c r="G20" s="48"/>
      <c r="H20" s="48"/>
    </row>
    <row r="21" spans="1:8" x14ac:dyDescent="0.35">
      <c r="A21" s="48"/>
      <c r="B21" s="48"/>
      <c r="C21" s="48"/>
      <c r="D21" s="48"/>
      <c r="E21" s="48"/>
      <c r="F21" s="48"/>
      <c r="G21" s="48"/>
      <c r="H21" s="48"/>
    </row>
  </sheetData>
  <sheetProtection selectLockedCells="1"/>
  <mergeCells count="1">
    <mergeCell ref="C4:E4"/>
  </mergeCells>
  <dataValidations count="3">
    <dataValidation type="list" allowBlank="1" showInputMessage="1" showErrorMessage="1" sqref="E6" xr:uid="{00000000-0002-0000-0300-000000000000}">
      <formula1>FluidType</formula1>
    </dataValidation>
    <dataValidation type="list" allowBlank="1" showInputMessage="1" showErrorMessage="1" sqref="E10 E12 E15" xr:uid="{00000000-0002-0000-0300-000001000000}">
      <formula1>ParameterList</formula1>
    </dataValidation>
    <dataValidation type="list" allowBlank="1" showInputMessage="1" showErrorMessage="1" sqref="E8" xr:uid="{00000000-0002-0000-0300-000002000000}">
      <formula1>INDIRECT($E$6)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2:DT170"/>
  <sheetViews>
    <sheetView workbookViewId="0">
      <selection activeCell="J20" sqref="J20"/>
    </sheetView>
  </sheetViews>
  <sheetFormatPr baseColWidth="10" defaultColWidth="8.90625" defaultRowHeight="14.5" x14ac:dyDescent="0.35"/>
  <cols>
    <col min="2" max="2" width="40.1796875" customWidth="1"/>
    <col min="4" max="4" width="18.6328125" bestFit="1" customWidth="1"/>
    <col min="5" max="5" width="5.90625" customWidth="1"/>
    <col min="6" max="6" width="21.08984375" customWidth="1"/>
    <col min="7" max="7" width="10.36328125" customWidth="1"/>
    <col min="8" max="8" width="19" customWidth="1"/>
    <col min="9" max="9" width="14.08984375" customWidth="1"/>
    <col min="10" max="10" width="19.08984375" bestFit="1" customWidth="1"/>
  </cols>
  <sheetData>
    <row r="2" spans="2:124" x14ac:dyDescent="0.35">
      <c r="B2" s="43" t="s">
        <v>236</v>
      </c>
      <c r="C2" s="42" t="str">
        <f>[1]!get_global_param_string("FluidsList")</f>
        <v>1-Butene,Acetone,Air,Ammonia,Argon,Benzene,CarbonDioxide,CarbonMonoxide,CarbonylSulfide,cis-2-Butene,CycloHexane,Cyclopentane,CycloPropane,D4,D5,D6,Deuterium,Dichloroethane,DiethylEther,DimethylCarbonate,DimethylEther,Ethane,Ethanol,EthylBenzene,Ethylene,EthyleneOxide,Fluorine,HeavyWater,Helium,HFE143m,Hydrogen,HydrogenChloride,HydrogenSulfide,IsoButane,IsoButene,Isohexane,Isopentane,Krypton,m-Xylene,MD2M,MD3M,MD4M,MDM,Methane,Methanol,MethylLinoleate,MethylLinolenate,MethylOleate,MethylPalmitate,MethylStearate,MM,n-Butane,n-Decane,n-Dodecane,n-Heptane,n-Hexane,n-Nonane,n-Octane,n-Pentane,n-Propane,n-Undecane,Neon,Neopentane,Nitrogen,NitrousOxide,Novec649,o-Xylene,OrthoDeuterium,OrthoHydrogen,Oxygen,p-Xylene,ParaDeuterium,ParaHydrogen,Propylene,Propyne,R11,R113,R114,R115,R116,R12,R123,R1233zd(E),R1234yf,R1234ze(E),R1234ze(Z),R124,R1243zf,R125,R13,R134a,R13I1,R14,R141b,R142b,R143a,R152A,R161,R21,R218,R22,R227EA,R23,R236EA,R236FA,R245ca,R245fa,R32,R365MFC,R40,R404A,R407C,R41,R410A,R507A,RC318,SES36,SulfurDioxide,SulfurHexafluoride,Toluene,trans-2-Butene,Water,Xenon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/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/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/>
      <c r="DS2" s="42"/>
      <c r="DT2" s="42"/>
    </row>
    <row r="3" spans="2:124" x14ac:dyDescent="0.35">
      <c r="B3" s="44" t="s">
        <v>237</v>
      </c>
      <c r="C3" s="42" t="s">
        <v>117</v>
      </c>
      <c r="D3" s="42" t="s">
        <v>118</v>
      </c>
      <c r="E3" s="42" t="s">
        <v>119</v>
      </c>
      <c r="F3" s="42" t="s">
        <v>120</v>
      </c>
      <c r="G3" s="42" t="s">
        <v>20</v>
      </c>
      <c r="H3" s="42" t="s">
        <v>121</v>
      </c>
      <c r="I3" s="42" t="s">
        <v>122</v>
      </c>
      <c r="J3" s="42" t="s">
        <v>123</v>
      </c>
      <c r="K3" s="42" t="s">
        <v>124</v>
      </c>
      <c r="L3" s="42" t="s">
        <v>125</v>
      </c>
      <c r="M3" s="42" t="s">
        <v>126</v>
      </c>
      <c r="N3" s="42" t="s">
        <v>127</v>
      </c>
      <c r="O3" s="42" t="s">
        <v>128</v>
      </c>
      <c r="P3" s="42" t="s">
        <v>129</v>
      </c>
      <c r="Q3" s="42" t="s">
        <v>130</v>
      </c>
      <c r="R3" s="42" t="s">
        <v>131</v>
      </c>
      <c r="S3" s="42" t="s">
        <v>132</v>
      </c>
      <c r="T3" s="42" t="s">
        <v>133</v>
      </c>
      <c r="U3" s="42" t="s">
        <v>134</v>
      </c>
      <c r="V3" s="42" t="s">
        <v>135</v>
      </c>
      <c r="W3" s="42" t="s">
        <v>136</v>
      </c>
      <c r="X3" s="42" t="s">
        <v>137</v>
      </c>
      <c r="Y3" s="42" t="s">
        <v>138</v>
      </c>
      <c r="Z3" s="42" t="s">
        <v>139</v>
      </c>
      <c r="AA3" s="42" t="s">
        <v>140</v>
      </c>
      <c r="AB3" s="42" t="s">
        <v>141</v>
      </c>
      <c r="AC3" s="42" t="s">
        <v>142</v>
      </c>
      <c r="AD3" s="42" t="s">
        <v>143</v>
      </c>
      <c r="AE3" s="42" t="s">
        <v>144</v>
      </c>
      <c r="AF3" s="42" t="s">
        <v>145</v>
      </c>
      <c r="AG3" s="42" t="s">
        <v>146</v>
      </c>
      <c r="AH3" s="42" t="s">
        <v>147</v>
      </c>
      <c r="AI3" s="42" t="s">
        <v>148</v>
      </c>
      <c r="AJ3" s="42" t="s">
        <v>149</v>
      </c>
      <c r="AK3" s="42" t="s">
        <v>150</v>
      </c>
      <c r="AL3" s="42" t="s">
        <v>151</v>
      </c>
      <c r="AM3" s="42" t="s">
        <v>152</v>
      </c>
      <c r="AN3" s="42" t="s">
        <v>153</v>
      </c>
      <c r="AO3" s="42" t="s">
        <v>154</v>
      </c>
      <c r="AP3" s="42" t="s">
        <v>155</v>
      </c>
      <c r="AQ3" s="42" t="s">
        <v>156</v>
      </c>
      <c r="AR3" s="42" t="s">
        <v>157</v>
      </c>
      <c r="AS3" s="42" t="s">
        <v>158</v>
      </c>
      <c r="AT3" s="42" t="s">
        <v>159</v>
      </c>
      <c r="AU3" s="42" t="s">
        <v>160</v>
      </c>
      <c r="AV3" s="42" t="s">
        <v>161</v>
      </c>
      <c r="AW3" s="42" t="s">
        <v>162</v>
      </c>
      <c r="AX3" s="42" t="s">
        <v>163</v>
      </c>
      <c r="AY3" s="42" t="s">
        <v>164</v>
      </c>
      <c r="AZ3" s="42" t="s">
        <v>165</v>
      </c>
      <c r="BA3" s="42" t="s">
        <v>166</v>
      </c>
      <c r="BB3" s="42" t="s">
        <v>167</v>
      </c>
      <c r="BC3" s="42" t="s">
        <v>168</v>
      </c>
      <c r="BD3" s="42" t="s">
        <v>169</v>
      </c>
      <c r="BE3" s="42" t="s">
        <v>170</v>
      </c>
      <c r="BF3" s="42" t="s">
        <v>171</v>
      </c>
      <c r="BG3" s="42" t="s">
        <v>172</v>
      </c>
      <c r="BH3" s="42" t="s">
        <v>173</v>
      </c>
      <c r="BI3" s="42" t="s">
        <v>174</v>
      </c>
      <c r="BJ3" s="42" t="s">
        <v>175</v>
      </c>
      <c r="BK3" s="42" t="s">
        <v>176</v>
      </c>
      <c r="BL3" s="42" t="s">
        <v>177</v>
      </c>
      <c r="BM3" s="42" t="s">
        <v>178</v>
      </c>
      <c r="BN3" s="42" t="s">
        <v>19</v>
      </c>
      <c r="BO3" s="42" t="s">
        <v>179</v>
      </c>
      <c r="BP3" s="42" t="s">
        <v>180</v>
      </c>
      <c r="BQ3" s="42" t="s">
        <v>181</v>
      </c>
      <c r="BR3" s="42" t="s">
        <v>182</v>
      </c>
      <c r="BS3" s="42" t="s">
        <v>183</v>
      </c>
      <c r="BT3" s="42" t="s">
        <v>21</v>
      </c>
      <c r="BU3" s="42" t="s">
        <v>184</v>
      </c>
      <c r="BV3" s="42" t="s">
        <v>185</v>
      </c>
      <c r="BW3" s="42" t="s">
        <v>186</v>
      </c>
      <c r="BX3" s="42" t="s">
        <v>187</v>
      </c>
      <c r="BY3" s="42" t="s">
        <v>188</v>
      </c>
      <c r="BZ3" s="42" t="s">
        <v>189</v>
      </c>
      <c r="CA3" s="42" t="s">
        <v>190</v>
      </c>
      <c r="CB3" s="42" t="s">
        <v>191</v>
      </c>
      <c r="CC3" s="42" t="s">
        <v>192</v>
      </c>
      <c r="CD3" s="42" t="s">
        <v>193</v>
      </c>
      <c r="CE3" s="42" t="s">
        <v>194</v>
      </c>
      <c r="CF3" s="42" t="s">
        <v>195</v>
      </c>
      <c r="CG3" s="42" t="s">
        <v>196</v>
      </c>
      <c r="CH3" s="42" t="s">
        <v>197</v>
      </c>
      <c r="CI3" s="42" t="s">
        <v>198</v>
      </c>
      <c r="CJ3" s="42" t="s">
        <v>199</v>
      </c>
      <c r="CK3" s="42" t="s">
        <v>200</v>
      </c>
      <c r="CL3" s="42" t="s">
        <v>201</v>
      </c>
      <c r="CM3" s="42" t="s">
        <v>202</v>
      </c>
      <c r="CN3" s="42" t="s">
        <v>203</v>
      </c>
      <c r="CO3" s="42" t="s">
        <v>204</v>
      </c>
      <c r="CP3" s="42" t="s">
        <v>205</v>
      </c>
      <c r="CQ3" s="42" t="s">
        <v>206</v>
      </c>
      <c r="CR3" s="42" t="s">
        <v>207</v>
      </c>
      <c r="CS3" s="42" t="s">
        <v>208</v>
      </c>
      <c r="CT3" s="42" t="s">
        <v>209</v>
      </c>
      <c r="CU3" s="42" t="s">
        <v>210</v>
      </c>
      <c r="CV3" s="42" t="s">
        <v>211</v>
      </c>
      <c r="CW3" s="42" t="s">
        <v>212</v>
      </c>
      <c r="CX3" s="42" t="s">
        <v>213</v>
      </c>
      <c r="CY3" s="42" t="s">
        <v>214</v>
      </c>
      <c r="CZ3" s="42" t="s">
        <v>215</v>
      </c>
      <c r="DA3" s="42" t="s">
        <v>216</v>
      </c>
      <c r="DB3" s="42" t="s">
        <v>217</v>
      </c>
      <c r="DC3" s="42" t="s">
        <v>218</v>
      </c>
      <c r="DD3" s="42" t="s">
        <v>219</v>
      </c>
      <c r="DE3" s="42" t="s">
        <v>220</v>
      </c>
      <c r="DF3" s="42" t="s">
        <v>221</v>
      </c>
      <c r="DG3" s="42" t="s">
        <v>222</v>
      </c>
      <c r="DH3" s="42" t="s">
        <v>223</v>
      </c>
      <c r="DI3" s="42" t="s">
        <v>224</v>
      </c>
      <c r="DJ3" s="42" t="s">
        <v>225</v>
      </c>
      <c r="DK3" s="42" t="s">
        <v>226</v>
      </c>
      <c r="DL3" s="42" t="s">
        <v>227</v>
      </c>
      <c r="DM3" s="42" t="s">
        <v>228</v>
      </c>
      <c r="DN3" s="42" t="s">
        <v>229</v>
      </c>
      <c r="DO3" s="42" t="s">
        <v>230</v>
      </c>
      <c r="DP3" s="42" t="s">
        <v>231</v>
      </c>
      <c r="DQ3" s="42" t="s">
        <v>232</v>
      </c>
      <c r="DR3" s="42" t="s">
        <v>233</v>
      </c>
      <c r="DS3" s="42" t="s">
        <v>234</v>
      </c>
      <c r="DT3" s="42" t="s">
        <v>235</v>
      </c>
    </row>
    <row r="4" spans="2:124" x14ac:dyDescent="0.35">
      <c r="B4" s="44" t="s">
        <v>513</v>
      </c>
    </row>
    <row r="5" spans="2:124" x14ac:dyDescent="0.35">
      <c r="B5" s="44"/>
      <c r="D5" s="35" t="s">
        <v>514</v>
      </c>
      <c r="F5" s="35" t="s">
        <v>512</v>
      </c>
      <c r="H5" s="35" t="s">
        <v>404</v>
      </c>
      <c r="J5" s="35" t="s">
        <v>515</v>
      </c>
    </row>
    <row r="6" spans="2:124" x14ac:dyDescent="0.35">
      <c r="B6" s="44" t="s">
        <v>516</v>
      </c>
      <c r="D6" t="s">
        <v>117</v>
      </c>
      <c r="F6" t="s">
        <v>407</v>
      </c>
      <c r="H6" t="s">
        <v>239</v>
      </c>
      <c r="J6" t="s">
        <v>514</v>
      </c>
    </row>
    <row r="7" spans="2:124" x14ac:dyDescent="0.35">
      <c r="B7" s="44" t="s">
        <v>238</v>
      </c>
      <c r="D7" t="s">
        <v>118</v>
      </c>
      <c r="F7" t="s">
        <v>408</v>
      </c>
      <c r="H7" t="s">
        <v>240</v>
      </c>
      <c r="J7" t="s">
        <v>512</v>
      </c>
    </row>
    <row r="8" spans="2:124" x14ac:dyDescent="0.35">
      <c r="D8" t="s">
        <v>119</v>
      </c>
      <c r="F8" t="s">
        <v>409</v>
      </c>
      <c r="H8" t="s">
        <v>241</v>
      </c>
    </row>
    <row r="9" spans="2:124" x14ac:dyDescent="0.35">
      <c r="B9" s="44" t="s">
        <v>523</v>
      </c>
      <c r="D9" t="s">
        <v>120</v>
      </c>
      <c r="F9" t="s">
        <v>410</v>
      </c>
      <c r="H9" t="s">
        <v>242</v>
      </c>
    </row>
    <row r="10" spans="2:124" x14ac:dyDescent="0.35">
      <c r="B10" s="44" t="s">
        <v>524</v>
      </c>
      <c r="D10" t="s">
        <v>20</v>
      </c>
      <c r="F10" t="s">
        <v>411</v>
      </c>
      <c r="H10" t="s">
        <v>243</v>
      </c>
    </row>
    <row r="11" spans="2:124" x14ac:dyDescent="0.35">
      <c r="B11" s="44" t="s">
        <v>525</v>
      </c>
      <c r="D11" t="s">
        <v>121</v>
      </c>
      <c r="F11" t="s">
        <v>412</v>
      </c>
      <c r="H11" t="s">
        <v>244</v>
      </c>
    </row>
    <row r="12" spans="2:124" x14ac:dyDescent="0.35">
      <c r="D12" t="s">
        <v>122</v>
      </c>
      <c r="F12" t="s">
        <v>413</v>
      </c>
      <c r="H12" t="s">
        <v>245</v>
      </c>
    </row>
    <row r="13" spans="2:124" x14ac:dyDescent="0.35">
      <c r="D13" t="s">
        <v>123</v>
      </c>
      <c r="F13" t="s">
        <v>414</v>
      </c>
      <c r="H13" t="s">
        <v>246</v>
      </c>
    </row>
    <row r="14" spans="2:124" x14ac:dyDescent="0.35">
      <c r="D14" t="s">
        <v>124</v>
      </c>
      <c r="F14" t="s">
        <v>415</v>
      </c>
      <c r="H14" t="s">
        <v>247</v>
      </c>
    </row>
    <row r="15" spans="2:124" x14ac:dyDescent="0.35">
      <c r="D15" t="s">
        <v>125</v>
      </c>
      <c r="F15" t="s">
        <v>416</v>
      </c>
      <c r="H15" t="s">
        <v>248</v>
      </c>
    </row>
    <row r="16" spans="2:124" x14ac:dyDescent="0.35">
      <c r="D16" t="s">
        <v>126</v>
      </c>
      <c r="F16" t="s">
        <v>417</v>
      </c>
      <c r="H16" t="s">
        <v>249</v>
      </c>
    </row>
    <row r="17" spans="4:8" x14ac:dyDescent="0.35">
      <c r="D17" t="s">
        <v>127</v>
      </c>
      <c r="F17" t="s">
        <v>418</v>
      </c>
      <c r="H17" t="s">
        <v>250</v>
      </c>
    </row>
    <row r="18" spans="4:8" x14ac:dyDescent="0.35">
      <c r="D18" t="s">
        <v>128</v>
      </c>
      <c r="F18" t="s">
        <v>419</v>
      </c>
      <c r="H18" t="s">
        <v>251</v>
      </c>
    </row>
    <row r="19" spans="4:8" x14ac:dyDescent="0.35">
      <c r="D19" t="s">
        <v>129</v>
      </c>
      <c r="F19" t="s">
        <v>420</v>
      </c>
      <c r="H19" t="s">
        <v>252</v>
      </c>
    </row>
    <row r="20" spans="4:8" x14ac:dyDescent="0.35">
      <c r="D20" t="s">
        <v>130</v>
      </c>
      <c r="F20" t="s">
        <v>421</v>
      </c>
      <c r="H20" t="s">
        <v>253</v>
      </c>
    </row>
    <row r="21" spans="4:8" x14ac:dyDescent="0.35">
      <c r="D21" t="s">
        <v>131</v>
      </c>
      <c r="F21" t="s">
        <v>422</v>
      </c>
      <c r="H21" t="s">
        <v>254</v>
      </c>
    </row>
    <row r="22" spans="4:8" x14ac:dyDescent="0.35">
      <c r="D22" t="s">
        <v>132</v>
      </c>
      <c r="F22" t="s">
        <v>423</v>
      </c>
      <c r="H22" t="s">
        <v>255</v>
      </c>
    </row>
    <row r="23" spans="4:8" x14ac:dyDescent="0.35">
      <c r="D23" t="s">
        <v>133</v>
      </c>
      <c r="F23" t="s">
        <v>424</v>
      </c>
      <c r="H23" t="s">
        <v>256</v>
      </c>
    </row>
    <row r="24" spans="4:8" x14ac:dyDescent="0.35">
      <c r="D24" t="s">
        <v>134</v>
      </c>
      <c r="F24" t="s">
        <v>425</v>
      </c>
      <c r="H24" t="s">
        <v>257</v>
      </c>
    </row>
    <row r="25" spans="4:8" x14ac:dyDescent="0.35">
      <c r="D25" t="s">
        <v>135</v>
      </c>
      <c r="F25" t="s">
        <v>426</v>
      </c>
      <c r="H25" t="s">
        <v>258</v>
      </c>
    </row>
    <row r="26" spans="4:8" x14ac:dyDescent="0.35">
      <c r="D26" t="s">
        <v>136</v>
      </c>
      <c r="F26" t="s">
        <v>427</v>
      </c>
      <c r="H26" t="s">
        <v>259</v>
      </c>
    </row>
    <row r="27" spans="4:8" x14ac:dyDescent="0.35">
      <c r="D27" t="s">
        <v>137</v>
      </c>
      <c r="F27" t="s">
        <v>428</v>
      </c>
      <c r="H27" t="s">
        <v>260</v>
      </c>
    </row>
    <row r="28" spans="4:8" x14ac:dyDescent="0.35">
      <c r="D28" t="s">
        <v>138</v>
      </c>
      <c r="F28" t="s">
        <v>429</v>
      </c>
      <c r="H28" t="s">
        <v>261</v>
      </c>
    </row>
    <row r="29" spans="4:8" x14ac:dyDescent="0.35">
      <c r="D29" t="s">
        <v>139</v>
      </c>
      <c r="F29" t="s">
        <v>430</v>
      </c>
      <c r="H29" t="s">
        <v>262</v>
      </c>
    </row>
    <row r="30" spans="4:8" x14ac:dyDescent="0.35">
      <c r="D30" t="s">
        <v>140</v>
      </c>
      <c r="F30" t="s">
        <v>431</v>
      </c>
      <c r="H30" t="s">
        <v>263</v>
      </c>
    </row>
    <row r="31" spans="4:8" x14ac:dyDescent="0.35">
      <c r="D31" t="s">
        <v>141</v>
      </c>
      <c r="F31" t="s">
        <v>432</v>
      </c>
      <c r="H31" t="s">
        <v>264</v>
      </c>
    </row>
    <row r="32" spans="4:8" x14ac:dyDescent="0.35">
      <c r="D32" t="s">
        <v>142</v>
      </c>
      <c r="F32" t="s">
        <v>433</v>
      </c>
      <c r="H32" t="s">
        <v>265</v>
      </c>
    </row>
    <row r="33" spans="4:8" x14ac:dyDescent="0.35">
      <c r="D33" t="s">
        <v>143</v>
      </c>
      <c r="F33" t="s">
        <v>434</v>
      </c>
      <c r="H33" t="s">
        <v>266</v>
      </c>
    </row>
    <row r="34" spans="4:8" x14ac:dyDescent="0.35">
      <c r="D34" t="s">
        <v>144</v>
      </c>
      <c r="F34" t="s">
        <v>435</v>
      </c>
      <c r="H34" t="s">
        <v>267</v>
      </c>
    </row>
    <row r="35" spans="4:8" x14ac:dyDescent="0.35">
      <c r="D35" t="s">
        <v>145</v>
      </c>
      <c r="F35" t="s">
        <v>436</v>
      </c>
      <c r="H35" t="s">
        <v>268</v>
      </c>
    </row>
    <row r="36" spans="4:8" x14ac:dyDescent="0.35">
      <c r="D36" t="s">
        <v>146</v>
      </c>
      <c r="F36" t="s">
        <v>437</v>
      </c>
      <c r="H36" t="s">
        <v>269</v>
      </c>
    </row>
    <row r="37" spans="4:8" x14ac:dyDescent="0.35">
      <c r="D37" t="s">
        <v>147</v>
      </c>
      <c r="F37" t="s">
        <v>438</v>
      </c>
      <c r="H37" t="s">
        <v>270</v>
      </c>
    </row>
    <row r="38" spans="4:8" x14ac:dyDescent="0.35">
      <c r="D38" t="s">
        <v>148</v>
      </c>
      <c r="F38" t="s">
        <v>439</v>
      </c>
      <c r="H38" t="s">
        <v>271</v>
      </c>
    </row>
    <row r="39" spans="4:8" x14ac:dyDescent="0.35">
      <c r="D39" t="s">
        <v>149</v>
      </c>
      <c r="F39" t="s">
        <v>440</v>
      </c>
      <c r="H39" t="s">
        <v>272</v>
      </c>
    </row>
    <row r="40" spans="4:8" x14ac:dyDescent="0.35">
      <c r="D40" t="s">
        <v>150</v>
      </c>
      <c r="F40" t="s">
        <v>441</v>
      </c>
      <c r="H40" t="s">
        <v>273</v>
      </c>
    </row>
    <row r="41" spans="4:8" x14ac:dyDescent="0.35">
      <c r="D41" t="s">
        <v>151</v>
      </c>
      <c r="F41" t="s">
        <v>442</v>
      </c>
      <c r="H41" t="s">
        <v>274</v>
      </c>
    </row>
    <row r="42" spans="4:8" x14ac:dyDescent="0.35">
      <c r="D42" t="s">
        <v>152</v>
      </c>
      <c r="F42" t="s">
        <v>443</v>
      </c>
      <c r="H42" t="s">
        <v>275</v>
      </c>
    </row>
    <row r="43" spans="4:8" x14ac:dyDescent="0.35">
      <c r="D43" t="s">
        <v>153</v>
      </c>
      <c r="F43" t="s">
        <v>444</v>
      </c>
      <c r="H43" t="s">
        <v>276</v>
      </c>
    </row>
    <row r="44" spans="4:8" x14ac:dyDescent="0.35">
      <c r="D44" t="s">
        <v>154</v>
      </c>
      <c r="F44" t="s">
        <v>445</v>
      </c>
      <c r="H44" t="s">
        <v>277</v>
      </c>
    </row>
    <row r="45" spans="4:8" x14ac:dyDescent="0.35">
      <c r="D45" t="s">
        <v>155</v>
      </c>
      <c r="F45" t="s">
        <v>446</v>
      </c>
      <c r="H45" t="s">
        <v>278</v>
      </c>
    </row>
    <row r="46" spans="4:8" x14ac:dyDescent="0.35">
      <c r="D46" t="s">
        <v>156</v>
      </c>
      <c r="F46" t="s">
        <v>447</v>
      </c>
      <c r="H46" t="s">
        <v>279</v>
      </c>
    </row>
    <row r="47" spans="4:8" x14ac:dyDescent="0.35">
      <c r="D47" t="s">
        <v>157</v>
      </c>
      <c r="F47" t="s">
        <v>448</v>
      </c>
      <c r="H47" t="s">
        <v>280</v>
      </c>
    </row>
    <row r="48" spans="4:8" x14ac:dyDescent="0.35">
      <c r="D48" t="s">
        <v>158</v>
      </c>
      <c r="F48" t="s">
        <v>449</v>
      </c>
      <c r="H48" t="s">
        <v>281</v>
      </c>
    </row>
    <row r="49" spans="4:8" x14ac:dyDescent="0.35">
      <c r="D49" t="s">
        <v>159</v>
      </c>
      <c r="F49" t="s">
        <v>450</v>
      </c>
      <c r="H49" t="s">
        <v>282</v>
      </c>
    </row>
    <row r="50" spans="4:8" x14ac:dyDescent="0.35">
      <c r="D50" t="s">
        <v>160</v>
      </c>
      <c r="F50" t="s">
        <v>451</v>
      </c>
      <c r="H50" t="s">
        <v>283</v>
      </c>
    </row>
    <row r="51" spans="4:8" x14ac:dyDescent="0.35">
      <c r="D51" t="s">
        <v>161</v>
      </c>
      <c r="F51" t="s">
        <v>452</v>
      </c>
      <c r="H51" t="s">
        <v>284</v>
      </c>
    </row>
    <row r="52" spans="4:8" x14ac:dyDescent="0.35">
      <c r="D52" t="s">
        <v>162</v>
      </c>
      <c r="F52" t="s">
        <v>453</v>
      </c>
      <c r="H52" t="s">
        <v>285</v>
      </c>
    </row>
    <row r="53" spans="4:8" x14ac:dyDescent="0.35">
      <c r="D53" t="s">
        <v>163</v>
      </c>
      <c r="F53" t="s">
        <v>454</v>
      </c>
      <c r="H53" t="s">
        <v>286</v>
      </c>
    </row>
    <row r="54" spans="4:8" x14ac:dyDescent="0.35">
      <c r="D54" t="s">
        <v>164</v>
      </c>
      <c r="F54" t="s">
        <v>455</v>
      </c>
      <c r="H54" t="s">
        <v>287</v>
      </c>
    </row>
    <row r="55" spans="4:8" x14ac:dyDescent="0.35">
      <c r="D55" t="s">
        <v>165</v>
      </c>
      <c r="F55" t="s">
        <v>456</v>
      </c>
      <c r="H55" t="s">
        <v>288</v>
      </c>
    </row>
    <row r="56" spans="4:8" x14ac:dyDescent="0.35">
      <c r="D56" t="s">
        <v>166</v>
      </c>
      <c r="F56" t="s">
        <v>457</v>
      </c>
      <c r="H56" t="s">
        <v>289</v>
      </c>
    </row>
    <row r="57" spans="4:8" x14ac:dyDescent="0.35">
      <c r="D57" t="s">
        <v>167</v>
      </c>
      <c r="F57" t="s">
        <v>458</v>
      </c>
      <c r="H57" t="s">
        <v>290</v>
      </c>
    </row>
    <row r="58" spans="4:8" x14ac:dyDescent="0.35">
      <c r="D58" t="s">
        <v>168</v>
      </c>
      <c r="F58" t="s">
        <v>459</v>
      </c>
      <c r="H58" t="s">
        <v>291</v>
      </c>
    </row>
    <row r="59" spans="4:8" x14ac:dyDescent="0.35">
      <c r="D59" t="s">
        <v>169</v>
      </c>
      <c r="F59" t="s">
        <v>460</v>
      </c>
      <c r="H59" t="s">
        <v>292</v>
      </c>
    </row>
    <row r="60" spans="4:8" x14ac:dyDescent="0.35">
      <c r="D60" t="s">
        <v>170</v>
      </c>
      <c r="F60" t="s">
        <v>461</v>
      </c>
      <c r="H60" t="s">
        <v>293</v>
      </c>
    </row>
    <row r="61" spans="4:8" x14ac:dyDescent="0.35">
      <c r="D61" t="s">
        <v>171</v>
      </c>
      <c r="F61" t="s">
        <v>462</v>
      </c>
      <c r="H61" t="s">
        <v>294</v>
      </c>
    </row>
    <row r="62" spans="4:8" x14ac:dyDescent="0.35">
      <c r="D62" t="s">
        <v>172</v>
      </c>
      <c r="F62" t="s">
        <v>463</v>
      </c>
      <c r="H62" t="s">
        <v>295</v>
      </c>
    </row>
    <row r="63" spans="4:8" x14ac:dyDescent="0.35">
      <c r="D63" t="s">
        <v>173</v>
      </c>
      <c r="F63" t="s">
        <v>464</v>
      </c>
      <c r="H63" t="s">
        <v>296</v>
      </c>
    </row>
    <row r="64" spans="4:8" x14ac:dyDescent="0.35">
      <c r="D64" t="s">
        <v>174</v>
      </c>
      <c r="F64" t="s">
        <v>465</v>
      </c>
      <c r="H64" t="s">
        <v>297</v>
      </c>
    </row>
    <row r="65" spans="4:8" x14ac:dyDescent="0.35">
      <c r="D65" t="s">
        <v>175</v>
      </c>
      <c r="F65" t="s">
        <v>466</v>
      </c>
      <c r="H65" t="s">
        <v>298</v>
      </c>
    </row>
    <row r="66" spans="4:8" x14ac:dyDescent="0.35">
      <c r="D66" t="s">
        <v>176</v>
      </c>
      <c r="F66" t="s">
        <v>467</v>
      </c>
      <c r="H66" t="s">
        <v>299</v>
      </c>
    </row>
    <row r="67" spans="4:8" x14ac:dyDescent="0.35">
      <c r="D67" t="s">
        <v>177</v>
      </c>
      <c r="F67" t="s">
        <v>468</v>
      </c>
      <c r="H67" t="s">
        <v>300</v>
      </c>
    </row>
    <row r="68" spans="4:8" x14ac:dyDescent="0.35">
      <c r="D68" t="s">
        <v>178</v>
      </c>
      <c r="F68" t="s">
        <v>469</v>
      </c>
      <c r="H68" t="s">
        <v>301</v>
      </c>
    </row>
    <row r="69" spans="4:8" x14ac:dyDescent="0.35">
      <c r="D69" t="s">
        <v>19</v>
      </c>
      <c r="F69" t="s">
        <v>470</v>
      </c>
      <c r="H69" t="s">
        <v>302</v>
      </c>
    </row>
    <row r="70" spans="4:8" x14ac:dyDescent="0.35">
      <c r="D70" t="s">
        <v>179</v>
      </c>
      <c r="F70" t="s">
        <v>471</v>
      </c>
      <c r="H70" t="s">
        <v>303</v>
      </c>
    </row>
    <row r="71" spans="4:8" x14ac:dyDescent="0.35">
      <c r="D71" t="s">
        <v>180</v>
      </c>
      <c r="F71" t="s">
        <v>472</v>
      </c>
      <c r="H71" t="s">
        <v>304</v>
      </c>
    </row>
    <row r="72" spans="4:8" x14ac:dyDescent="0.35">
      <c r="D72" t="s">
        <v>181</v>
      </c>
      <c r="F72" t="s">
        <v>473</v>
      </c>
      <c r="H72" t="s">
        <v>305</v>
      </c>
    </row>
    <row r="73" spans="4:8" x14ac:dyDescent="0.35">
      <c r="D73" t="s">
        <v>182</v>
      </c>
      <c r="F73" t="s">
        <v>474</v>
      </c>
      <c r="H73" t="s">
        <v>306</v>
      </c>
    </row>
    <row r="74" spans="4:8" x14ac:dyDescent="0.35">
      <c r="D74" t="s">
        <v>183</v>
      </c>
      <c r="F74" t="s">
        <v>475</v>
      </c>
      <c r="H74" t="s">
        <v>307</v>
      </c>
    </row>
    <row r="75" spans="4:8" x14ac:dyDescent="0.35">
      <c r="D75" t="s">
        <v>21</v>
      </c>
      <c r="F75" t="s">
        <v>476</v>
      </c>
      <c r="H75" t="s">
        <v>308</v>
      </c>
    </row>
    <row r="76" spans="4:8" x14ac:dyDescent="0.35">
      <c r="D76" t="s">
        <v>184</v>
      </c>
      <c r="F76" t="s">
        <v>477</v>
      </c>
      <c r="H76" t="s">
        <v>309</v>
      </c>
    </row>
    <row r="77" spans="4:8" x14ac:dyDescent="0.35">
      <c r="D77" t="s">
        <v>185</v>
      </c>
      <c r="F77" t="s">
        <v>478</v>
      </c>
      <c r="H77" t="s">
        <v>310</v>
      </c>
    </row>
    <row r="78" spans="4:8" x14ac:dyDescent="0.35">
      <c r="D78" t="s">
        <v>186</v>
      </c>
      <c r="F78" t="s">
        <v>479</v>
      </c>
      <c r="H78" t="s">
        <v>311</v>
      </c>
    </row>
    <row r="79" spans="4:8" x14ac:dyDescent="0.35">
      <c r="D79" t="s">
        <v>187</v>
      </c>
      <c r="F79" t="s">
        <v>480</v>
      </c>
      <c r="H79" t="s">
        <v>312</v>
      </c>
    </row>
    <row r="80" spans="4:8" x14ac:dyDescent="0.35">
      <c r="D80" t="s">
        <v>188</v>
      </c>
      <c r="F80" t="s">
        <v>481</v>
      </c>
      <c r="H80" t="s">
        <v>313</v>
      </c>
    </row>
    <row r="81" spans="4:8" x14ac:dyDescent="0.35">
      <c r="D81" t="s">
        <v>189</v>
      </c>
      <c r="F81" t="s">
        <v>482</v>
      </c>
      <c r="H81" t="s">
        <v>314</v>
      </c>
    </row>
    <row r="82" spans="4:8" x14ac:dyDescent="0.35">
      <c r="D82" t="s">
        <v>190</v>
      </c>
      <c r="F82" t="s">
        <v>483</v>
      </c>
      <c r="H82" t="s">
        <v>315</v>
      </c>
    </row>
    <row r="83" spans="4:8" x14ac:dyDescent="0.35">
      <c r="D83" t="s">
        <v>191</v>
      </c>
      <c r="F83" t="s">
        <v>484</v>
      </c>
      <c r="H83" t="s">
        <v>316</v>
      </c>
    </row>
    <row r="84" spans="4:8" x14ac:dyDescent="0.35">
      <c r="D84" t="s">
        <v>192</v>
      </c>
      <c r="F84" t="s">
        <v>485</v>
      </c>
      <c r="H84" t="s">
        <v>317</v>
      </c>
    </row>
    <row r="85" spans="4:8" x14ac:dyDescent="0.35">
      <c r="D85" t="s">
        <v>193</v>
      </c>
      <c r="F85" t="s">
        <v>486</v>
      </c>
      <c r="H85" t="s">
        <v>318</v>
      </c>
    </row>
    <row r="86" spans="4:8" x14ac:dyDescent="0.35">
      <c r="D86" t="s">
        <v>194</v>
      </c>
      <c r="F86" t="s">
        <v>487</v>
      </c>
      <c r="H86" t="s">
        <v>319</v>
      </c>
    </row>
    <row r="87" spans="4:8" x14ac:dyDescent="0.35">
      <c r="D87" t="s">
        <v>195</v>
      </c>
      <c r="F87" t="s">
        <v>488</v>
      </c>
      <c r="H87" t="s">
        <v>320</v>
      </c>
    </row>
    <row r="88" spans="4:8" x14ac:dyDescent="0.35">
      <c r="D88" t="s">
        <v>196</v>
      </c>
      <c r="F88" t="s">
        <v>489</v>
      </c>
      <c r="H88" t="s">
        <v>321</v>
      </c>
    </row>
    <row r="89" spans="4:8" x14ac:dyDescent="0.35">
      <c r="D89" t="s">
        <v>197</v>
      </c>
      <c r="F89" t="s">
        <v>490</v>
      </c>
      <c r="H89" t="s">
        <v>322</v>
      </c>
    </row>
    <row r="90" spans="4:8" x14ac:dyDescent="0.35">
      <c r="D90" t="s">
        <v>198</v>
      </c>
      <c r="F90" t="s">
        <v>491</v>
      </c>
      <c r="H90" t="s">
        <v>323</v>
      </c>
    </row>
    <row r="91" spans="4:8" x14ac:dyDescent="0.35">
      <c r="D91" t="s">
        <v>199</v>
      </c>
      <c r="F91" t="s">
        <v>492</v>
      </c>
      <c r="H91" t="s">
        <v>324</v>
      </c>
    </row>
    <row r="92" spans="4:8" x14ac:dyDescent="0.35">
      <c r="D92" t="s">
        <v>200</v>
      </c>
      <c r="F92" t="s">
        <v>493</v>
      </c>
      <c r="H92" t="s">
        <v>325</v>
      </c>
    </row>
    <row r="93" spans="4:8" x14ac:dyDescent="0.35">
      <c r="D93" t="s">
        <v>201</v>
      </c>
      <c r="F93" t="s">
        <v>494</v>
      </c>
      <c r="H93" t="s">
        <v>326</v>
      </c>
    </row>
    <row r="94" spans="4:8" x14ac:dyDescent="0.35">
      <c r="D94" t="s">
        <v>202</v>
      </c>
      <c r="F94" t="s">
        <v>495</v>
      </c>
      <c r="H94" t="s">
        <v>327</v>
      </c>
    </row>
    <row r="95" spans="4:8" x14ac:dyDescent="0.35">
      <c r="D95" t="s">
        <v>203</v>
      </c>
      <c r="F95" t="s">
        <v>496</v>
      </c>
      <c r="H95" t="s">
        <v>328</v>
      </c>
    </row>
    <row r="96" spans="4:8" x14ac:dyDescent="0.35">
      <c r="D96" t="s">
        <v>204</v>
      </c>
      <c r="F96" t="s">
        <v>497</v>
      </c>
      <c r="H96" t="s">
        <v>329</v>
      </c>
    </row>
    <row r="97" spans="4:8" x14ac:dyDescent="0.35">
      <c r="D97" t="s">
        <v>205</v>
      </c>
      <c r="F97" t="s">
        <v>498</v>
      </c>
      <c r="H97" t="s">
        <v>330</v>
      </c>
    </row>
    <row r="98" spans="4:8" x14ac:dyDescent="0.35">
      <c r="D98" t="s">
        <v>206</v>
      </c>
      <c r="F98" t="s">
        <v>499</v>
      </c>
      <c r="H98" t="s">
        <v>331</v>
      </c>
    </row>
    <row r="99" spans="4:8" x14ac:dyDescent="0.35">
      <c r="D99" t="s">
        <v>207</v>
      </c>
      <c r="F99" t="s">
        <v>500</v>
      </c>
      <c r="H99" t="s">
        <v>332</v>
      </c>
    </row>
    <row r="100" spans="4:8" x14ac:dyDescent="0.35">
      <c r="D100" t="s">
        <v>208</v>
      </c>
      <c r="F100" t="s">
        <v>501</v>
      </c>
      <c r="H100" t="s">
        <v>333</v>
      </c>
    </row>
    <row r="101" spans="4:8" x14ac:dyDescent="0.35">
      <c r="D101" t="s">
        <v>209</v>
      </c>
      <c r="F101" t="s">
        <v>502</v>
      </c>
      <c r="H101" t="s">
        <v>334</v>
      </c>
    </row>
    <row r="102" spans="4:8" x14ac:dyDescent="0.35">
      <c r="D102" t="s">
        <v>210</v>
      </c>
      <c r="F102" t="s">
        <v>503</v>
      </c>
      <c r="H102" t="s">
        <v>335</v>
      </c>
    </row>
    <row r="103" spans="4:8" x14ac:dyDescent="0.35">
      <c r="D103" t="s">
        <v>211</v>
      </c>
      <c r="F103" t="s">
        <v>504</v>
      </c>
      <c r="H103" t="s">
        <v>336</v>
      </c>
    </row>
    <row r="104" spans="4:8" x14ac:dyDescent="0.35">
      <c r="D104" t="s">
        <v>212</v>
      </c>
      <c r="F104" t="s">
        <v>505</v>
      </c>
      <c r="H104" t="s">
        <v>337</v>
      </c>
    </row>
    <row r="105" spans="4:8" x14ac:dyDescent="0.35">
      <c r="D105" t="s">
        <v>213</v>
      </c>
      <c r="F105" t="s">
        <v>506</v>
      </c>
      <c r="H105" t="s">
        <v>338</v>
      </c>
    </row>
    <row r="106" spans="4:8" x14ac:dyDescent="0.35">
      <c r="D106" t="s">
        <v>214</v>
      </c>
      <c r="F106" t="s">
        <v>507</v>
      </c>
      <c r="H106" t="s">
        <v>339</v>
      </c>
    </row>
    <row r="107" spans="4:8" x14ac:dyDescent="0.35">
      <c r="D107" t="s">
        <v>215</v>
      </c>
      <c r="F107" t="s">
        <v>508</v>
      </c>
      <c r="H107" t="s">
        <v>340</v>
      </c>
    </row>
    <row r="108" spans="4:8" x14ac:dyDescent="0.35">
      <c r="D108" t="s">
        <v>216</v>
      </c>
      <c r="F108" t="s">
        <v>509</v>
      </c>
      <c r="H108" t="s">
        <v>341</v>
      </c>
    </row>
    <row r="109" spans="4:8" x14ac:dyDescent="0.35">
      <c r="D109" t="s">
        <v>217</v>
      </c>
      <c r="F109" t="s">
        <v>510</v>
      </c>
      <c r="H109" t="s">
        <v>342</v>
      </c>
    </row>
    <row r="110" spans="4:8" x14ac:dyDescent="0.35">
      <c r="D110" t="s">
        <v>218</v>
      </c>
      <c r="F110" t="s">
        <v>511</v>
      </c>
      <c r="H110" t="s">
        <v>343</v>
      </c>
    </row>
    <row r="111" spans="4:8" x14ac:dyDescent="0.35">
      <c r="D111" t="s">
        <v>219</v>
      </c>
      <c r="H111" t="s">
        <v>344</v>
      </c>
    </row>
    <row r="112" spans="4:8" x14ac:dyDescent="0.35">
      <c r="D112" t="s">
        <v>220</v>
      </c>
      <c r="H112" t="s">
        <v>345</v>
      </c>
    </row>
    <row r="113" spans="4:8" x14ac:dyDescent="0.35">
      <c r="D113" t="s">
        <v>221</v>
      </c>
      <c r="H113" t="s">
        <v>346</v>
      </c>
    </row>
    <row r="114" spans="4:8" x14ac:dyDescent="0.35">
      <c r="D114" t="s">
        <v>222</v>
      </c>
      <c r="H114" t="s">
        <v>347</v>
      </c>
    </row>
    <row r="115" spans="4:8" x14ac:dyDescent="0.35">
      <c r="D115" t="s">
        <v>223</v>
      </c>
      <c r="H115" t="s">
        <v>348</v>
      </c>
    </row>
    <row r="116" spans="4:8" x14ac:dyDescent="0.35">
      <c r="D116" t="s">
        <v>224</v>
      </c>
      <c r="H116" t="s">
        <v>349</v>
      </c>
    </row>
    <row r="117" spans="4:8" x14ac:dyDescent="0.35">
      <c r="D117" t="s">
        <v>225</v>
      </c>
      <c r="H117" t="s">
        <v>350</v>
      </c>
    </row>
    <row r="118" spans="4:8" x14ac:dyDescent="0.35">
      <c r="D118" t="s">
        <v>226</v>
      </c>
      <c r="H118" t="s">
        <v>351</v>
      </c>
    </row>
    <row r="119" spans="4:8" x14ac:dyDescent="0.35">
      <c r="D119" t="s">
        <v>227</v>
      </c>
      <c r="H119" t="s">
        <v>352</v>
      </c>
    </row>
    <row r="120" spans="4:8" x14ac:dyDescent="0.35">
      <c r="D120" t="s">
        <v>228</v>
      </c>
      <c r="H120" t="s">
        <v>353</v>
      </c>
    </row>
    <row r="121" spans="4:8" x14ac:dyDescent="0.35">
      <c r="D121" t="s">
        <v>229</v>
      </c>
      <c r="H121" t="s">
        <v>354</v>
      </c>
    </row>
    <row r="122" spans="4:8" x14ac:dyDescent="0.35">
      <c r="D122" t="s">
        <v>230</v>
      </c>
      <c r="H122" t="s">
        <v>355</v>
      </c>
    </row>
    <row r="123" spans="4:8" x14ac:dyDescent="0.35">
      <c r="D123" t="s">
        <v>231</v>
      </c>
      <c r="H123" t="s">
        <v>356</v>
      </c>
    </row>
    <row r="124" spans="4:8" x14ac:dyDescent="0.35">
      <c r="D124" t="s">
        <v>232</v>
      </c>
      <c r="H124" t="s">
        <v>357</v>
      </c>
    </row>
    <row r="125" spans="4:8" x14ac:dyDescent="0.35">
      <c r="D125" t="s">
        <v>233</v>
      </c>
      <c r="H125" t="s">
        <v>358</v>
      </c>
    </row>
    <row r="126" spans="4:8" x14ac:dyDescent="0.35">
      <c r="D126" t="s">
        <v>234</v>
      </c>
      <c r="H126" t="s">
        <v>359</v>
      </c>
    </row>
    <row r="127" spans="4:8" x14ac:dyDescent="0.35">
      <c r="D127" t="s">
        <v>235</v>
      </c>
      <c r="H127" t="s">
        <v>360</v>
      </c>
    </row>
    <row r="128" spans="4:8" x14ac:dyDescent="0.35">
      <c r="H128" t="s">
        <v>361</v>
      </c>
    </row>
    <row r="129" spans="8:8" x14ac:dyDescent="0.35">
      <c r="H129" t="s">
        <v>362</v>
      </c>
    </row>
    <row r="130" spans="8:8" x14ac:dyDescent="0.35">
      <c r="H130" t="s">
        <v>363</v>
      </c>
    </row>
    <row r="131" spans="8:8" x14ac:dyDescent="0.35">
      <c r="H131" t="s">
        <v>364</v>
      </c>
    </row>
    <row r="132" spans="8:8" x14ac:dyDescent="0.35">
      <c r="H132" t="s">
        <v>365</v>
      </c>
    </row>
    <row r="133" spans="8:8" x14ac:dyDescent="0.35">
      <c r="H133" t="s">
        <v>366</v>
      </c>
    </row>
    <row r="134" spans="8:8" x14ac:dyDescent="0.35">
      <c r="H134" t="s">
        <v>367</v>
      </c>
    </row>
    <row r="135" spans="8:8" x14ac:dyDescent="0.35">
      <c r="H135" t="s">
        <v>368</v>
      </c>
    </row>
    <row r="136" spans="8:8" x14ac:dyDescent="0.35">
      <c r="H136" t="s">
        <v>369</v>
      </c>
    </row>
    <row r="137" spans="8:8" x14ac:dyDescent="0.35">
      <c r="H137" t="s">
        <v>370</v>
      </c>
    </row>
    <row r="138" spans="8:8" x14ac:dyDescent="0.35">
      <c r="H138" t="s">
        <v>371</v>
      </c>
    </row>
    <row r="139" spans="8:8" x14ac:dyDescent="0.35">
      <c r="H139" t="s">
        <v>372</v>
      </c>
    </row>
    <row r="140" spans="8:8" x14ac:dyDescent="0.35">
      <c r="H140" t="s">
        <v>373</v>
      </c>
    </row>
    <row r="141" spans="8:8" x14ac:dyDescent="0.35">
      <c r="H141" t="s">
        <v>374</v>
      </c>
    </row>
    <row r="142" spans="8:8" x14ac:dyDescent="0.35">
      <c r="H142" t="s">
        <v>375</v>
      </c>
    </row>
    <row r="143" spans="8:8" x14ac:dyDescent="0.35">
      <c r="H143" t="s">
        <v>376</v>
      </c>
    </row>
    <row r="144" spans="8:8" x14ac:dyDescent="0.35">
      <c r="H144" t="s">
        <v>377</v>
      </c>
    </row>
    <row r="145" spans="8:8" x14ac:dyDescent="0.35">
      <c r="H145" t="s">
        <v>378</v>
      </c>
    </row>
    <row r="146" spans="8:8" x14ac:dyDescent="0.35">
      <c r="H146" t="s">
        <v>379</v>
      </c>
    </row>
    <row r="147" spans="8:8" x14ac:dyDescent="0.35">
      <c r="H147" t="s">
        <v>380</v>
      </c>
    </row>
    <row r="148" spans="8:8" x14ac:dyDescent="0.35">
      <c r="H148" t="s">
        <v>381</v>
      </c>
    </row>
    <row r="149" spans="8:8" x14ac:dyDescent="0.35">
      <c r="H149" t="s">
        <v>382</v>
      </c>
    </row>
    <row r="150" spans="8:8" x14ac:dyDescent="0.35">
      <c r="H150" t="s">
        <v>383</v>
      </c>
    </row>
    <row r="151" spans="8:8" x14ac:dyDescent="0.35">
      <c r="H151" t="s">
        <v>384</v>
      </c>
    </row>
    <row r="152" spans="8:8" x14ac:dyDescent="0.35">
      <c r="H152" t="s">
        <v>385</v>
      </c>
    </row>
    <row r="153" spans="8:8" x14ac:dyDescent="0.35">
      <c r="H153" t="s">
        <v>386</v>
      </c>
    </row>
    <row r="154" spans="8:8" x14ac:dyDescent="0.35">
      <c r="H154" t="s">
        <v>387</v>
      </c>
    </row>
    <row r="155" spans="8:8" x14ac:dyDescent="0.35">
      <c r="H155" t="s">
        <v>388</v>
      </c>
    </row>
    <row r="156" spans="8:8" x14ac:dyDescent="0.35">
      <c r="H156" t="s">
        <v>389</v>
      </c>
    </row>
    <row r="157" spans="8:8" x14ac:dyDescent="0.35">
      <c r="H157" t="s">
        <v>390</v>
      </c>
    </row>
    <row r="158" spans="8:8" x14ac:dyDescent="0.35">
      <c r="H158" t="s">
        <v>391</v>
      </c>
    </row>
    <row r="159" spans="8:8" x14ac:dyDescent="0.35">
      <c r="H159" t="s">
        <v>392</v>
      </c>
    </row>
    <row r="160" spans="8:8" x14ac:dyDescent="0.35">
      <c r="H160" t="s">
        <v>393</v>
      </c>
    </row>
    <row r="161" spans="8:8" x14ac:dyDescent="0.35">
      <c r="H161" t="s">
        <v>394</v>
      </c>
    </row>
    <row r="162" spans="8:8" x14ac:dyDescent="0.35">
      <c r="H162" t="s">
        <v>395</v>
      </c>
    </row>
    <row r="163" spans="8:8" x14ac:dyDescent="0.35">
      <c r="H163" t="s">
        <v>396</v>
      </c>
    </row>
    <row r="164" spans="8:8" x14ac:dyDescent="0.35">
      <c r="H164" t="s">
        <v>397</v>
      </c>
    </row>
    <row r="165" spans="8:8" x14ac:dyDescent="0.35">
      <c r="H165" t="s">
        <v>398</v>
      </c>
    </row>
    <row r="166" spans="8:8" x14ac:dyDescent="0.35">
      <c r="H166" t="s">
        <v>399</v>
      </c>
    </row>
    <row r="167" spans="8:8" x14ac:dyDescent="0.35">
      <c r="H167" t="s">
        <v>400</v>
      </c>
    </row>
    <row r="168" spans="8:8" x14ac:dyDescent="0.35">
      <c r="H168" t="s">
        <v>401</v>
      </c>
    </row>
    <row r="169" spans="8:8" x14ac:dyDescent="0.35">
      <c r="H169" t="s">
        <v>402</v>
      </c>
    </row>
    <row r="170" spans="8:8" x14ac:dyDescent="0.35">
      <c r="H170" t="s">
        <v>403</v>
      </c>
    </row>
  </sheetData>
  <pageMargins left="0.7" right="0.7" top="0.75" bottom="0.75" header="0.3" footer="0.3"/>
  <pageSetup orientation="portrait" r:id="rId1"/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Heat Pump Terms of Use</vt:lpstr>
      <vt:lpstr>Heat_Pump</vt:lpstr>
      <vt:lpstr>CoolProp_Installation</vt:lpstr>
      <vt:lpstr>Sample Calcs</vt:lpstr>
      <vt:lpstr>Water saturation table</vt:lpstr>
      <vt:lpstr>Property Calculator</vt:lpstr>
      <vt:lpstr>Lists</vt:lpstr>
      <vt:lpstr>FluidType</vt:lpstr>
      <vt:lpstr>ParameterList</vt:lpstr>
      <vt:lpstr>PredefinedMixtures</vt:lpstr>
      <vt:lpstr>PureFluids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2025-05-08T16:19:13Z</dcterms:modified>
</cp:coreProperties>
</file>